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שמעון\האחסון שלי\P\myself\גמלאות\"/>
    </mc:Choice>
  </mc:AlternateContent>
  <xr:revisionPtr revIDLastSave="0" documentId="13_ncr:1_{C093E4C1-C1E6-4F1B-9347-66008EFD388A}" xr6:coauthVersionLast="47" xr6:coauthVersionMax="47" xr10:uidLastSave="{00000000-0000-0000-0000-000000000000}"/>
  <bookViews>
    <workbookView xWindow="-104" yWindow="-104" windowWidth="22326" windowHeight="11947" activeTab="2" xr2:uid="{00000000-000D-0000-FFFF-FFFF00000000}"/>
  </bookViews>
  <sheets>
    <sheet name="סימולטור " sheetId="1" r:id="rId1"/>
    <sheet name="דרוג מחר" sheetId="2" r:id="rId2"/>
    <sheet name="סימולטור חוזה.נש&quot;מ" sheetId="6" r:id="rId3"/>
    <sheet name="גיליון1" sheetId="3" r:id="rId4"/>
    <sheet name="סימולטור שיפוץ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6" l="1"/>
  <c r="I6" i="6"/>
  <c r="I39" i="6"/>
  <c r="I41" i="6" s="1"/>
  <c r="G41" i="6" s="1"/>
  <c r="I38" i="6"/>
  <c r="I40" i="6" s="1"/>
  <c r="F40" i="6" s="1"/>
  <c r="G37" i="6"/>
  <c r="O19" i="6"/>
  <c r="J19" i="6"/>
  <c r="O13" i="6"/>
  <c r="J13" i="6"/>
  <c r="N29" i="6"/>
  <c r="G29" i="6" s="1"/>
  <c r="I29" i="6"/>
  <c r="F29" i="6" s="1"/>
  <c r="J7" i="6"/>
  <c r="O14" i="6"/>
  <c r="J6" i="6"/>
  <c r="H58" i="4"/>
  <c r="I58" i="4"/>
  <c r="K58" i="4"/>
  <c r="H57" i="4"/>
  <c r="I57" i="4"/>
  <c r="K57" i="4"/>
  <c r="H56" i="4"/>
  <c r="I56" i="4"/>
  <c r="K56" i="4"/>
  <c r="K55" i="4"/>
  <c r="I55" i="4"/>
  <c r="I54" i="4"/>
  <c r="L49" i="4"/>
  <c r="G39" i="6" l="1"/>
  <c r="I19" i="6"/>
  <c r="F39" i="6"/>
  <c r="J14" i="6"/>
  <c r="I13" i="6" s="1"/>
  <c r="G38" i="6"/>
  <c r="G40" i="6"/>
  <c r="N19" i="6"/>
  <c r="N13" i="6"/>
  <c r="Q19" i="6"/>
  <c r="F41" i="6"/>
  <c r="Q13" i="6"/>
  <c r="L13" i="6"/>
  <c r="F13" i="6" s="1"/>
  <c r="L19" i="6"/>
  <c r="F19" i="6" s="1"/>
  <c r="F7" i="4"/>
  <c r="N43" i="4" s="1"/>
  <c r="F6" i="4"/>
  <c r="S43" i="4" s="1"/>
  <c r="L43" i="4"/>
  <c r="E7" i="4"/>
  <c r="Q44" i="4" s="1"/>
  <c r="Q49" i="4"/>
  <c r="K35" i="4"/>
  <c r="H35" i="4" s="1"/>
  <c r="P35" i="4"/>
  <c r="I35" i="4" s="1"/>
  <c r="E6" i="4"/>
  <c r="Q43" i="4"/>
  <c r="G13" i="6" l="1"/>
  <c r="E13" i="6" s="1"/>
  <c r="D13" i="6" s="1"/>
  <c r="D14" i="6" s="1"/>
  <c r="G19" i="6"/>
  <c r="E19" i="6"/>
  <c r="D19" i="6"/>
  <c r="S49" i="4"/>
  <c r="I49" i="4" s="1"/>
  <c r="K49" i="4"/>
  <c r="H49" i="4"/>
  <c r="P49" i="4"/>
  <c r="L44" i="4"/>
  <c r="I43" i="4" s="1"/>
  <c r="P43" i="4"/>
  <c r="E11" i="4"/>
  <c r="F11" i="4" s="1"/>
  <c r="N49" i="4"/>
  <c r="D20" i="6" l="1"/>
  <c r="G49" i="4"/>
  <c r="F49" i="4"/>
  <c r="H43" i="4"/>
  <c r="G43" i="4" s="1"/>
  <c r="K43" i="4"/>
  <c r="F12" i="4"/>
  <c r="F50" i="4" l="1"/>
  <c r="F43" i="4"/>
  <c r="F44" i="4" s="1"/>
  <c r="E12" i="4" l="1"/>
  <c r="S98" i="4"/>
  <c r="S99" i="4"/>
  <c r="S100" i="4"/>
  <c r="S101" i="4"/>
  <c r="S75" i="4"/>
  <c r="S74" i="4"/>
  <c r="Y73" i="4"/>
  <c r="W73" i="4"/>
  <c r="X73" i="4" s="1"/>
  <c r="U73" i="4"/>
  <c r="Y72" i="4"/>
  <c r="W72" i="4"/>
  <c r="X72" i="4" s="1"/>
  <c r="U72" i="4"/>
  <c r="Y71" i="4"/>
  <c r="W71" i="4"/>
  <c r="X71" i="4" s="1"/>
  <c r="U71" i="4"/>
  <c r="Y70" i="4"/>
  <c r="W70" i="4"/>
  <c r="X70" i="4" s="1"/>
  <c r="U70" i="4"/>
  <c r="T113" i="4"/>
  <c r="U44" i="4" s="1"/>
  <c r="W43" i="4"/>
  <c r="Y43" i="4" s="1"/>
  <c r="U43" i="4"/>
  <c r="W42" i="4"/>
  <c r="Y42" i="4" s="1"/>
  <c r="U42" i="4"/>
  <c r="W41" i="4"/>
  <c r="Y41" i="4" s="1"/>
  <c r="U41" i="4"/>
  <c r="G20" i="4"/>
  <c r="T76" i="4"/>
  <c r="T77" i="4" s="1"/>
  <c r="T78" i="4" s="1"/>
  <c r="T79" i="4" s="1"/>
  <c r="T80" i="4" s="1"/>
  <c r="S80" i="4" s="1"/>
  <c r="G12" i="4" l="1"/>
  <c r="I12" i="4" s="1"/>
  <c r="S79" i="4"/>
  <c r="S77" i="4"/>
  <c r="S78" i="4"/>
  <c r="S76" i="4"/>
  <c r="Z71" i="4"/>
  <c r="X41" i="4"/>
  <c r="Z41" i="4" s="1"/>
  <c r="X42" i="4"/>
  <c r="Z42" i="4" s="1"/>
  <c r="Z72" i="4"/>
  <c r="Z70" i="4"/>
  <c r="Z73" i="4"/>
  <c r="X43" i="4"/>
  <c r="Z43" i="4" s="1"/>
  <c r="W44" i="4"/>
  <c r="T114" i="4"/>
  <c r="T81" i="4"/>
  <c r="S81" i="4" s="1"/>
  <c r="T82" i="4"/>
  <c r="S82" i="4" s="1"/>
  <c r="T83" i="4" l="1"/>
  <c r="S83" i="4" s="1"/>
  <c r="X44" i="4"/>
  <c r="Y44" i="4"/>
  <c r="U45" i="4"/>
  <c r="W45" i="4"/>
  <c r="T115" i="4"/>
  <c r="Z44" i="4" l="1"/>
  <c r="T84" i="4"/>
  <c r="S84" i="4" s="1"/>
  <c r="X45" i="4"/>
  <c r="Y45" i="4"/>
  <c r="T116" i="4"/>
  <c r="W50" i="4"/>
  <c r="U50" i="4"/>
  <c r="T85" i="4" l="1"/>
  <c r="S85" i="4" s="1"/>
  <c r="Z45" i="4"/>
  <c r="X50" i="4"/>
  <c r="Y50" i="4"/>
  <c r="U51" i="4"/>
  <c r="T117" i="4"/>
  <c r="W51" i="4"/>
  <c r="Z50" i="4" l="1"/>
  <c r="T86" i="4"/>
  <c r="S86" i="4" s="1"/>
  <c r="T118" i="4"/>
  <c r="W52" i="4"/>
  <c r="U52" i="4"/>
  <c r="T119" i="4"/>
  <c r="X51" i="4"/>
  <c r="Y51" i="4"/>
  <c r="T87" i="4" l="1"/>
  <c r="S87" i="4" s="1"/>
  <c r="Z51" i="4"/>
  <c r="T120" i="4"/>
  <c r="W54" i="4"/>
  <c r="U54" i="4"/>
  <c r="X52" i="4"/>
  <c r="Y52" i="4"/>
  <c r="U53" i="4"/>
  <c r="W53" i="4"/>
  <c r="T88" i="4" l="1"/>
  <c r="S88" i="4" s="1"/>
  <c r="X53" i="4"/>
  <c r="Y53" i="4"/>
  <c r="X54" i="4"/>
  <c r="Y54" i="4"/>
  <c r="Z52" i="4"/>
  <c r="U55" i="4"/>
  <c r="T121" i="4"/>
  <c r="W55" i="4"/>
  <c r="T89" i="4" l="1"/>
  <c r="S89" i="4" s="1"/>
  <c r="Z53" i="4"/>
  <c r="Z54" i="4"/>
  <c r="Y55" i="4"/>
  <c r="X55" i="4"/>
  <c r="U56" i="4"/>
  <c r="T122" i="4"/>
  <c r="W56" i="4"/>
  <c r="T90" i="4" l="1"/>
  <c r="S90" i="4" s="1"/>
  <c r="U57" i="4"/>
  <c r="W57" i="4"/>
  <c r="T123" i="4"/>
  <c r="X56" i="4"/>
  <c r="Y56" i="4"/>
  <c r="Z55" i="4"/>
  <c r="T91" i="4" l="1"/>
  <c r="S91" i="4" s="1"/>
  <c r="T124" i="4"/>
  <c r="W58" i="4"/>
  <c r="U58" i="4"/>
  <c r="X57" i="4"/>
  <c r="Y57" i="4"/>
  <c r="Z56" i="4"/>
  <c r="T92" i="4" l="1"/>
  <c r="S92" i="4" s="1"/>
  <c r="X58" i="4"/>
  <c r="Y58" i="4"/>
  <c r="Z57" i="4"/>
  <c r="U59" i="4"/>
  <c r="T125" i="4"/>
  <c r="W59" i="4"/>
  <c r="Z58" i="4" l="1"/>
  <c r="T93" i="4"/>
  <c r="S93" i="4" s="1"/>
  <c r="X59" i="4"/>
  <c r="Y59" i="4"/>
  <c r="T126" i="4"/>
  <c r="W60" i="4"/>
  <c r="U60" i="4"/>
  <c r="T94" i="4" l="1"/>
  <c r="S94" i="4" s="1"/>
  <c r="Z59" i="4"/>
  <c r="U61" i="4"/>
  <c r="T127" i="4"/>
  <c r="W61" i="4"/>
  <c r="X61" i="4" s="1"/>
  <c r="Y61" i="4"/>
  <c r="X60" i="4"/>
  <c r="Y60" i="4"/>
  <c r="Z60" i="4" l="1"/>
  <c r="T95" i="4"/>
  <c r="S95" i="4" s="1"/>
  <c r="Z61" i="4"/>
  <c r="U62" i="4"/>
  <c r="T128" i="4"/>
  <c r="W62" i="4"/>
  <c r="X62" i="4" s="1"/>
  <c r="Y62" i="4"/>
  <c r="T96" i="4" l="1"/>
  <c r="S96" i="4" s="1"/>
  <c r="Z62" i="4"/>
  <c r="U63" i="4"/>
  <c r="W63" i="4"/>
  <c r="X63" i="4" s="1"/>
  <c r="Y63" i="4"/>
  <c r="T129" i="4"/>
  <c r="T97" i="4" l="1"/>
  <c r="S97" i="4" s="1"/>
  <c r="Z63" i="4"/>
  <c r="Y64" i="4"/>
  <c r="T130" i="4"/>
  <c r="W64" i="4"/>
  <c r="X64" i="4" s="1"/>
  <c r="U64" i="4"/>
  <c r="U65" i="4" l="1"/>
  <c r="T131" i="4"/>
  <c r="Y65" i="4"/>
  <c r="W65" i="4"/>
  <c r="X65" i="4" s="1"/>
  <c r="Z64" i="4"/>
  <c r="U66" i="4" l="1"/>
  <c r="T132" i="4"/>
  <c r="W66" i="4"/>
  <c r="X66" i="4" s="1"/>
  <c r="Y66" i="4"/>
  <c r="Z65" i="4"/>
  <c r="Z66" i="4" l="1"/>
  <c r="U67" i="4"/>
  <c r="T133" i="4"/>
  <c r="Y67" i="4"/>
  <c r="W67" i="4"/>
  <c r="X67" i="4" s="1"/>
  <c r="T134" i="4" l="1"/>
  <c r="W68" i="4"/>
  <c r="X68" i="4" s="1"/>
  <c r="U68" i="4"/>
  <c r="Y68" i="4"/>
  <c r="Z67" i="4"/>
  <c r="Z68" i="4" l="1"/>
  <c r="U69" i="4"/>
  <c r="Y69" i="4"/>
  <c r="W69" i="4"/>
  <c r="X69" i="4" s="1"/>
  <c r="Z69" i="4" l="1"/>
  <c r="O65" i="4" l="1"/>
  <c r="O66" i="4" s="1"/>
  <c r="O68" i="4" s="1"/>
  <c r="H31" i="4"/>
  <c r="G29" i="4" s="1"/>
  <c r="E30" i="4"/>
  <c r="F29" i="4"/>
  <c r="E29" i="4"/>
  <c r="H16" i="4"/>
  <c r="E16" i="4" s="1"/>
  <c r="F16" i="4" s="1"/>
  <c r="H23" i="4"/>
  <c r="K5" i="1"/>
  <c r="O70" i="4" l="1"/>
  <c r="R69" i="4"/>
  <c r="G11" i="4"/>
  <c r="I11" i="4" s="1"/>
  <c r="E31" i="4"/>
  <c r="H17" i="4"/>
  <c r="E17" i="4" s="1"/>
  <c r="E18" i="4" s="1"/>
  <c r="E23" i="4"/>
  <c r="H22" i="4"/>
  <c r="H9" i="2"/>
  <c r="H10" i="2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G9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F9" i="2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E9" i="2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D9" i="2"/>
  <c r="D10" i="2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C9" i="2"/>
  <c r="C10" i="2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AB9" i="2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A9" i="2"/>
  <c r="AA10" i="2" s="1"/>
  <c r="AA11" i="2" s="1"/>
  <c r="AA12" i="2" s="1"/>
  <c r="AA13" i="2" s="1"/>
  <c r="AA14" i="2" s="1"/>
  <c r="AA15" i="2" s="1"/>
  <c r="AA16" i="2" s="1"/>
  <c r="AA17" i="2" s="1"/>
  <c r="AA18" i="2" s="1"/>
  <c r="AA19" i="2" s="1"/>
  <c r="AA20" i="2" s="1"/>
  <c r="AA21" i="2" s="1"/>
  <c r="AA22" i="2" s="1"/>
  <c r="AA23" i="2" s="1"/>
  <c r="AA24" i="2" s="1"/>
  <c r="AA25" i="2" s="1"/>
  <c r="AA26" i="2" s="1"/>
  <c r="AA27" i="2" s="1"/>
  <c r="AA28" i="2" s="1"/>
  <c r="AA29" i="2" s="1"/>
  <c r="AA30" i="2" s="1"/>
  <c r="AA31" i="2" s="1"/>
  <c r="AA32" i="2" s="1"/>
  <c r="AA33" i="2" s="1"/>
  <c r="AA34" i="2" s="1"/>
  <c r="AA35" i="2" s="1"/>
  <c r="AA36" i="2" s="1"/>
  <c r="AA37" i="2" s="1"/>
  <c r="AA38" i="2" s="1"/>
  <c r="AA39" i="2" s="1"/>
  <c r="AA40" i="2" s="1"/>
  <c r="AA41" i="2" s="1"/>
  <c r="AA42" i="2" s="1"/>
  <c r="AA43" i="2" s="1"/>
  <c r="AA44" i="2" s="1"/>
  <c r="AA45" i="2" s="1"/>
  <c r="AA46" i="2" s="1"/>
  <c r="AA47" i="2" s="1"/>
  <c r="AA48" i="2" s="1"/>
  <c r="Z9" i="2"/>
  <c r="Z10" i="2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Y9" i="2"/>
  <c r="Y10" i="2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X9" i="2"/>
  <c r="X10" i="2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W9" i="2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V9" i="2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U9" i="2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T9" i="2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S9" i="2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R9" i="2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Q9" i="2"/>
  <c r="Q10" i="2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P9" i="2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O9" i="2"/>
  <c r="O10" i="2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N9" i="2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M9" i="2"/>
  <c r="M10" i="2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L9" i="2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K9" i="2"/>
  <c r="K10" i="2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J9" i="2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I9" i="2"/>
  <c r="I10" i="2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G11" i="1"/>
  <c r="G10" i="1"/>
  <c r="H21" i="1" s="1"/>
  <c r="H15" i="1"/>
  <c r="F28" i="1"/>
  <c r="H30" i="1"/>
  <c r="G28" i="1" s="1"/>
  <c r="E28" i="1"/>
  <c r="E29" i="1"/>
  <c r="H12" i="4" l="1"/>
  <c r="F30" i="4"/>
  <c r="F31" i="4" s="1"/>
  <c r="D29" i="4" s="1"/>
  <c r="F23" i="4"/>
  <c r="H11" i="4"/>
  <c r="F17" i="4"/>
  <c r="F18" i="4" s="1"/>
  <c r="D16" i="4" s="1"/>
  <c r="H18" i="4"/>
  <c r="H24" i="4"/>
  <c r="F22" i="4"/>
  <c r="E22" i="4"/>
  <c r="E24" i="4" s="1"/>
  <c r="D52" i="2"/>
  <c r="D53" i="2" s="1"/>
  <c r="D54" i="2" s="1"/>
  <c r="D55" i="2" s="1"/>
  <c r="D58" i="2"/>
  <c r="E52" i="2"/>
  <c r="E53" i="2" s="1"/>
  <c r="E54" i="2" s="1"/>
  <c r="E55" i="2" s="1"/>
  <c r="E58" i="2"/>
  <c r="H52" i="2"/>
  <c r="H53" i="2" s="1"/>
  <c r="H54" i="2" s="1"/>
  <c r="H55" i="2" s="1"/>
  <c r="H58" i="2"/>
  <c r="F52" i="2"/>
  <c r="F53" i="2" s="1"/>
  <c r="F54" i="2" s="1"/>
  <c r="F55" i="2" s="1"/>
  <c r="F58" i="2"/>
  <c r="G52" i="2"/>
  <c r="G53" i="2" s="1"/>
  <c r="G54" i="2" s="1"/>
  <c r="G55" i="2" s="1"/>
  <c r="G58" i="2"/>
  <c r="L59" i="2"/>
  <c r="L61" i="2" s="1"/>
  <c r="L63" i="2" s="1"/>
  <c r="C52" i="2"/>
  <c r="C53" i="2" s="1"/>
  <c r="C54" i="2" s="1"/>
  <c r="C55" i="2" s="1"/>
  <c r="F7" i="1" s="1"/>
  <c r="F29" i="1" s="1"/>
  <c r="C58" i="2"/>
  <c r="H16" i="1"/>
  <c r="H17" i="1" s="1"/>
  <c r="G15" i="1" s="1"/>
  <c r="E15" i="1"/>
  <c r="E30" i="1"/>
  <c r="F21" i="1"/>
  <c r="E21" i="1"/>
  <c r="H22" i="1"/>
  <c r="D30" i="4" l="1"/>
  <c r="D31" i="4" s="1"/>
  <c r="G16" i="4"/>
  <c r="G17" i="4"/>
  <c r="F24" i="4"/>
  <c r="D23" i="4" s="1"/>
  <c r="G30" i="4"/>
  <c r="G31" i="4" s="1"/>
  <c r="G23" i="4"/>
  <c r="G22" i="4"/>
  <c r="D17" i="4"/>
  <c r="D18" i="4" s="1"/>
  <c r="F10" i="1"/>
  <c r="D10" i="1" s="1"/>
  <c r="F11" i="1"/>
  <c r="D11" i="1" s="1"/>
  <c r="F16" i="1"/>
  <c r="F15" i="1"/>
  <c r="E22" i="1"/>
  <c r="E23" i="1" s="1"/>
  <c r="F22" i="1"/>
  <c r="F23" i="1" s="1"/>
  <c r="D21" i="1" s="1"/>
  <c r="H23" i="1"/>
  <c r="F30" i="1"/>
  <c r="D28" i="1" s="1"/>
  <c r="G16" i="1"/>
  <c r="G17" i="1" s="1"/>
  <c r="E16" i="1"/>
  <c r="E17" i="1" s="1"/>
  <c r="D22" i="4" l="1"/>
  <c r="D24" i="4" s="1"/>
  <c r="G18" i="4"/>
  <c r="G24" i="4"/>
  <c r="G29" i="1"/>
  <c r="G30" i="1" s="1"/>
  <c r="G21" i="1"/>
  <c r="F17" i="1"/>
  <c r="D15" i="1"/>
  <c r="D22" i="1"/>
  <c r="D23" i="1" s="1"/>
  <c r="D29" i="1"/>
  <c r="D30" i="1" s="1"/>
  <c r="G22" i="1"/>
  <c r="D16" i="1"/>
  <c r="G23" i="1" l="1"/>
  <c r="D17" i="1"/>
</calcChain>
</file>

<file path=xl/sharedStrings.xml><?xml version="1.0" encoding="utf-8"?>
<sst xmlns="http://schemas.openxmlformats.org/spreadsheetml/2006/main" count="344" uniqueCount="123">
  <si>
    <t xml:space="preserve"> </t>
  </si>
  <si>
    <t xml:space="preserve">משכורת  </t>
  </si>
  <si>
    <t>חוזה</t>
  </si>
  <si>
    <t>כתב מינוי</t>
  </si>
  <si>
    <t>שנים</t>
  </si>
  <si>
    <t>ס"ה עבודה</t>
  </si>
  <si>
    <t>שנים לפנסיה</t>
  </si>
  <si>
    <t>שנים קובעות לפנסיה</t>
  </si>
  <si>
    <t>אחוז מהפנסיה</t>
  </si>
  <si>
    <t>שנים לפנסיה:</t>
  </si>
  <si>
    <t>% מהשכר</t>
  </si>
  <si>
    <t>נתונים בסיסיים:</t>
  </si>
  <si>
    <t>========</t>
  </si>
  <si>
    <t>מלא את הטורים "שנים" ו"משכורת"</t>
  </si>
  <si>
    <t xml:space="preserve">סימולטור לחישוב פנסיה לתקופת שרות משולבת מעל 35 שנה: חוזה בכירים + כתב מינוי </t>
  </si>
  <si>
    <t>חישוב פנסיה  לפי ממוצע אריתמטי 50-50</t>
  </si>
  <si>
    <r>
      <t xml:space="preserve">שים לב: הסימולטור </t>
    </r>
    <r>
      <rPr>
        <b/>
        <u/>
        <sz val="10"/>
        <rFont val="Arial"/>
        <family val="2"/>
      </rPr>
      <t xml:space="preserve">אינו פועל </t>
    </r>
    <r>
      <rPr>
        <b/>
        <sz val="10"/>
        <rFont val="Arial"/>
        <family val="2"/>
      </rPr>
      <t>אם תקופת השרות הכוללת קטנה מ-35 שנים!!!</t>
    </r>
  </si>
  <si>
    <t>אלטרנטיבה 2</t>
  </si>
  <si>
    <t>אלטרנטיבה 1</t>
  </si>
  <si>
    <t>ס"ה לפנסיה</t>
  </si>
  <si>
    <t>תוצאה:</t>
  </si>
  <si>
    <t xml:space="preserve">משכורת ממוצעת </t>
  </si>
  <si>
    <t>משכורת משולבת בש"ח לחודש לדרוגים: מח"ר, מהנדסים, הנדסאים  וטכנאים ועיתונאים</t>
  </si>
  <si>
    <t xml:space="preserve">               תוספת וותק לשנה: עד דרגה 30: 1%, מדרגה 31 ועד דרגה 40: 0.75%  </t>
  </si>
  <si>
    <t xml:space="preserve">  </t>
  </si>
  <si>
    <t xml:space="preserve">                      בתחולה מיום 1 ביוני 2006</t>
  </si>
  <si>
    <t>וותק</t>
  </si>
  <si>
    <t>46+</t>
  </si>
  <si>
    <t>45+</t>
  </si>
  <si>
    <t>44+</t>
  </si>
  <si>
    <t>43+</t>
  </si>
  <si>
    <t>42+</t>
  </si>
  <si>
    <t>41+</t>
  </si>
  <si>
    <t>40+</t>
  </si>
  <si>
    <t>39+</t>
  </si>
  <si>
    <t>38+</t>
  </si>
  <si>
    <t>37+</t>
  </si>
  <si>
    <t>36+</t>
  </si>
  <si>
    <t>35+</t>
  </si>
  <si>
    <t>34+</t>
  </si>
  <si>
    <t>תוספת ב%</t>
  </si>
  <si>
    <t>שנה</t>
  </si>
  <si>
    <t>אחוז פנסיה</t>
  </si>
  <si>
    <t xml:space="preserve"> פנסיה ₪</t>
  </si>
  <si>
    <t>חישוב פנסיה מפורט  לפי 35 שנה האחרונות</t>
  </si>
  <si>
    <t>חישוב פנסיה מפורט לפי כל תקופת השרות</t>
  </si>
  <si>
    <t xml:space="preserve">סימולטור לחישוב פנסיה לתקופת שרות משולבת: חוזה בכירים + כתב מינוי </t>
  </si>
  <si>
    <r>
      <t xml:space="preserve"> </t>
    </r>
    <r>
      <rPr>
        <b/>
        <u/>
        <sz val="10"/>
        <rFont val="Arial"/>
        <family val="2"/>
      </rPr>
      <t>בדוק</t>
    </r>
    <r>
      <rPr>
        <b/>
        <sz val="10"/>
        <rFont val="Arial"/>
        <family val="2"/>
      </rPr>
      <t xml:space="preserve"> אם הסימולטור פועל כשתקופת השרות הכוללת קטנה מ-35 שנים!!!</t>
    </r>
  </si>
  <si>
    <t>יסוד משולב</t>
  </si>
  <si>
    <t>תוספת 2009</t>
  </si>
  <si>
    <t>ס</t>
  </si>
  <si>
    <t>משכורת</t>
  </si>
  <si>
    <t>פנסיה</t>
  </si>
  <si>
    <t xml:space="preserve"> 1.1.2013</t>
  </si>
  <si>
    <t>ס"ה תוספות</t>
  </si>
  <si>
    <t>ס"ה משכורת</t>
  </si>
  <si>
    <t>מק.תוס.יוקר</t>
  </si>
  <si>
    <t>% פנסיה</t>
  </si>
  <si>
    <t>פרטי תלוש גימלה</t>
  </si>
  <si>
    <t>נוסחת נש"מ</t>
  </si>
  <si>
    <t>ע"פ חוזה וחוק</t>
  </si>
  <si>
    <t xml:space="preserve">               זכויות פנסיה ע"פ חוק/תקשי"ר:</t>
  </si>
  <si>
    <t xml:space="preserve">   תקופת השרות</t>
  </si>
  <si>
    <t xml:space="preserve">   תקופת החוזה</t>
  </si>
  <si>
    <t xml:space="preserve">%כ. מינוי </t>
  </si>
  <si>
    <t>ס"ה שרות</t>
  </si>
  <si>
    <t xml:space="preserve"> שנים בחוזה</t>
  </si>
  <si>
    <t>אחוז שנות</t>
  </si>
  <si>
    <t xml:space="preserve">ס"ה שרות </t>
  </si>
  <si>
    <t>כולל</t>
  </si>
  <si>
    <t>כ.מנוי+חוזה</t>
  </si>
  <si>
    <t>שכר חודשי</t>
  </si>
  <si>
    <t xml:space="preserve">חוזה מס"ה </t>
  </si>
  <si>
    <t xml:space="preserve">כ. מינוי מס"ה </t>
  </si>
  <si>
    <t>מינוי+חוזה</t>
  </si>
  <si>
    <t>שנות שרות</t>
  </si>
  <si>
    <t>(אחוזים)</t>
  </si>
  <si>
    <t xml:space="preserve"> בכתב מנוי</t>
  </si>
  <si>
    <t>(טור(3) חלקי (1</t>
  </si>
  <si>
    <t>(20.33 חלקי (1)</t>
  </si>
  <si>
    <t>טור4+5</t>
  </si>
  <si>
    <t>חישוב פנסיה משוקלל לפי תקופות השרות</t>
  </si>
  <si>
    <t>שנים בכ. מינוי</t>
  </si>
  <si>
    <t>תקופת חוזה</t>
  </si>
  <si>
    <t xml:space="preserve">     תקופת חוזה</t>
  </si>
  <si>
    <t xml:space="preserve">שנים </t>
  </si>
  <si>
    <t>פנסיה לפי משכורת ממוצעת:</t>
  </si>
  <si>
    <t>%פנסיה לשנה</t>
  </si>
  <si>
    <t>נוסחת נש"מ:</t>
  </si>
  <si>
    <t>X</t>
  </si>
  <si>
    <t>+</t>
  </si>
  <si>
    <t xml:space="preserve">משכורת </t>
  </si>
  <si>
    <t>תקופת כ.מנוי</t>
  </si>
  <si>
    <t xml:space="preserve">חוזה </t>
  </si>
  <si>
    <t xml:space="preserve"> כ.מינוי</t>
  </si>
  <si>
    <t>=</t>
  </si>
  <si>
    <t xml:space="preserve">פנסיה לפי </t>
  </si>
  <si>
    <t>קובעת חוזה</t>
  </si>
  <si>
    <t xml:space="preserve">קובעת כ.מנוי </t>
  </si>
  <si>
    <t>שקלול משכורות קובעות</t>
  </si>
  <si>
    <t>כ. מינוי</t>
  </si>
  <si>
    <t xml:space="preserve">משכורת קובעת </t>
  </si>
  <si>
    <t>משוקללת</t>
  </si>
  <si>
    <t xml:space="preserve">(קובעת (ממוצע </t>
  </si>
  <si>
    <t>תקופ.חוזה</t>
  </si>
  <si>
    <t>% מכלל</t>
  </si>
  <si>
    <t>השרות</t>
  </si>
  <si>
    <t>:</t>
  </si>
  <si>
    <t>ע"פ חוזה וחוק:</t>
  </si>
  <si>
    <t>% פנסיה לכל שנה</t>
  </si>
  <si>
    <t>תקופת כ.מינוי</t>
  </si>
  <si>
    <t xml:space="preserve">% מכל </t>
  </si>
  <si>
    <t xml:space="preserve">נוסחת הפנסיה </t>
  </si>
  <si>
    <t>משכורת:</t>
  </si>
  <si>
    <t>תקופת חוזה:</t>
  </si>
  <si>
    <t>אחוז פנסיה לשנה:</t>
  </si>
  <si>
    <t>? ? ?</t>
  </si>
  <si>
    <t>IF(AND((N38+S38)&gt;35,S38&gt;=35),0,(S38+N38)-(35-S38)&gt;=0,(35-S38),0))</t>
  </si>
  <si>
    <t>(K56+L56)-((K56+L56)-35)</t>
  </si>
  <si>
    <t>% פנסיה לכל שנה:</t>
  </si>
  <si>
    <t>מלא את התאים "שנים" ו"משכורת"</t>
  </si>
  <si>
    <t>שנים בכ.מינוי</t>
  </si>
  <si>
    <t>שנים בחוזה: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</si>
</sst>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₪&quot;\ #,##0;&quot;₪&quot;\ \-#,##0"/>
    <numFmt numFmtId="41" formatCode="_ * #,##0_ ;_ * \-#,##0_ ;_ * &quot;-&quot;_ ;_ @_ "/>
    <numFmt numFmtId="43" formatCode="_ * #,##0.00_ ;_ * \-#,##0.00_ ;_ * &quot;-&quot;??_ ;_ @_ "/>
    <numFmt numFmtId="164" formatCode="&quot;₪&quot;\ #,##0"/>
    <numFmt numFmtId="165" formatCode="&quot;₪&quot;\ #,##0.00"/>
    <numFmt numFmtId="169" formatCode="0.0%"/>
    <numFmt numFmtId="170" formatCode="0%\ &quot;לשנה, עד&quot;"/>
    <numFmt numFmtId="171" formatCode="General&quot;שנה (70%)&quot;"/>
    <numFmt numFmtId="172" formatCode="General&quot;שנה&quot;"/>
    <numFmt numFmtId="173" formatCode="0%\ &quot;לשנה&quot;"/>
    <numFmt numFmtId="174" formatCode="\(\ע\ד0%\)"/>
    <numFmt numFmtId="178" formatCode="General\ &quot;שנה&quot;"/>
    <numFmt numFmtId="200" formatCode="_ * #,##0_ ;_ * \-#,##0_ ;_ * &quot;-&quot;??_ ;_ @_ "/>
    <numFmt numFmtId="246" formatCode="\(&quot;&quot;0%\ &quot;עד)&quot;"/>
    <numFmt numFmtId="247" formatCode="General\ &quot;=&quot;"/>
    <numFmt numFmtId="249" formatCode="General\ 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i/>
      <u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u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i/>
      <sz val="11"/>
      <name val="Arial"/>
      <family val="2"/>
    </font>
    <font>
      <u val="singleAccounting"/>
      <sz val="10"/>
      <name val="Arial"/>
      <family val="2"/>
    </font>
    <font>
      <b/>
      <u val="doubleAccounting"/>
      <sz val="10"/>
      <name val="Arial"/>
      <family val="2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u/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u/>
      <sz val="8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u/>
      <sz val="11"/>
      <color theme="1"/>
      <name val="Arial"/>
      <family val="2"/>
      <scheme val="minor"/>
    </font>
    <font>
      <u/>
      <sz val="11"/>
      <name val="Arial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30">
    <xf numFmtId="0" fontId="0" fillId="0" borderId="0" xfId="0"/>
    <xf numFmtId="9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9" fontId="3" fillId="0" borderId="0" xfId="0" applyNumberFormat="1" applyFont="1"/>
    <xf numFmtId="0" fontId="2" fillId="0" borderId="0" xfId="0" applyFont="1"/>
    <xf numFmtId="0" fontId="5" fillId="0" borderId="0" xfId="0" applyFont="1"/>
    <xf numFmtId="9" fontId="2" fillId="0" borderId="0" xfId="0" applyNumberFormat="1" applyFont="1"/>
    <xf numFmtId="9" fontId="5" fillId="0" borderId="0" xfId="0" applyNumberFormat="1" applyFont="1" applyAlignment="1">
      <alignment horizontal="center"/>
    </xf>
    <xf numFmtId="9" fontId="4" fillId="0" borderId="0" xfId="0" applyNumberFormat="1" applyFont="1"/>
    <xf numFmtId="9" fontId="6" fillId="0" borderId="0" xfId="0" applyNumberFormat="1" applyFont="1"/>
    <xf numFmtId="4" fontId="3" fillId="0" borderId="0" xfId="0" applyNumberFormat="1" applyFont="1"/>
    <xf numFmtId="0" fontId="7" fillId="0" borderId="0" xfId="0" applyFont="1"/>
    <xf numFmtId="0" fontId="8" fillId="0" borderId="0" xfId="0" applyFont="1"/>
    <xf numFmtId="4" fontId="7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10" fillId="0" borderId="0" xfId="0" applyFont="1"/>
    <xf numFmtId="0" fontId="2" fillId="0" borderId="5" xfId="0" applyFont="1" applyBorder="1"/>
    <xf numFmtId="0" fontId="0" fillId="0" borderId="0" xfId="0" quotePrefix="1"/>
    <xf numFmtId="0" fontId="1" fillId="0" borderId="0" xfId="0" quotePrefix="1" applyFont="1"/>
    <xf numFmtId="164" fontId="0" fillId="0" borderId="1" xfId="0" applyNumberFormat="1" applyBorder="1"/>
    <xf numFmtId="164" fontId="0" fillId="0" borderId="6" xfId="0" applyNumberFormat="1" applyBorder="1"/>
    <xf numFmtId="164" fontId="0" fillId="0" borderId="0" xfId="0" applyNumberFormat="1"/>
    <xf numFmtId="164" fontId="3" fillId="0" borderId="0" xfId="0" applyNumberFormat="1" applyFont="1"/>
    <xf numFmtId="0" fontId="3" fillId="0" borderId="3" xfId="0" applyFont="1" applyBorder="1"/>
    <xf numFmtId="164" fontId="2" fillId="0" borderId="0" xfId="0" applyNumberFormat="1" applyFont="1"/>
    <xf numFmtId="0" fontId="3" fillId="0" borderId="2" xfId="0" applyFont="1" applyBorder="1"/>
    <xf numFmtId="0" fontId="5" fillId="0" borderId="5" xfId="0" applyFont="1" applyBorder="1"/>
    <xf numFmtId="164" fontId="2" fillId="0" borderId="6" xfId="0" applyNumberFormat="1" applyFont="1" applyBorder="1"/>
    <xf numFmtId="9" fontId="0" fillId="0" borderId="3" xfId="0" applyNumberFormat="1" applyBorder="1"/>
    <xf numFmtId="0" fontId="5" fillId="0" borderId="7" xfId="0" applyFont="1" applyBorder="1"/>
    <xf numFmtId="0" fontId="2" fillId="0" borderId="2" xfId="0" applyFont="1" applyBorder="1"/>
    <xf numFmtId="164" fontId="0" fillId="0" borderId="3" xfId="0" applyNumberFormat="1" applyBorder="1"/>
    <xf numFmtId="0" fontId="2" fillId="0" borderId="7" xfId="0" applyFont="1" applyBorder="1"/>
    <xf numFmtId="165" fontId="0" fillId="0" borderId="0" xfId="0" applyNumberFormat="1"/>
    <xf numFmtId="164" fontId="5" fillId="0" borderId="2" xfId="0" applyNumberFormat="1" applyFont="1" applyBorder="1" applyAlignment="1">
      <alignment horizontal="left"/>
    </xf>
    <xf numFmtId="4" fontId="13" fillId="0" borderId="0" xfId="0" applyNumberFormat="1" applyFont="1"/>
    <xf numFmtId="4" fontId="11" fillId="0" borderId="0" xfId="0" applyNumberFormat="1" applyFont="1"/>
    <xf numFmtId="4" fontId="14" fillId="0" borderId="0" xfId="0" applyNumberFormat="1" applyFont="1"/>
    <xf numFmtId="4" fontId="14" fillId="0" borderId="0" xfId="0" applyNumberFormat="1" applyFont="1" applyAlignment="1">
      <alignment horizontal="center"/>
    </xf>
    <xf numFmtId="41" fontId="15" fillId="0" borderId="0" xfId="0" applyNumberFormat="1" applyFont="1" applyAlignment="1">
      <alignment horizontal="center"/>
    </xf>
    <xf numFmtId="41" fontId="0" fillId="0" borderId="0" xfId="0" applyNumberFormat="1"/>
    <xf numFmtId="4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4" fontId="12" fillId="0" borderId="0" xfId="0" applyNumberFormat="1" applyFont="1"/>
    <xf numFmtId="4" fontId="15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5" fillId="0" borderId="8" xfId="0" applyNumberFormat="1" applyFont="1" applyBorder="1"/>
    <xf numFmtId="9" fontId="0" fillId="0" borderId="0" xfId="1" applyFont="1"/>
    <xf numFmtId="10" fontId="0" fillId="0" borderId="0" xfId="1" applyNumberFormat="1" applyFont="1"/>
    <xf numFmtId="10" fontId="0" fillId="0" borderId="0" xfId="0" applyNumberFormat="1"/>
    <xf numFmtId="14" fontId="1" fillId="0" borderId="0" xfId="0" applyNumberFormat="1" applyFont="1"/>
    <xf numFmtId="0" fontId="1" fillId="0" borderId="0" xfId="0" applyFont="1"/>
    <xf numFmtId="0" fontId="18" fillId="0" borderId="0" xfId="0" applyFont="1" applyAlignment="1">
      <alignment horizontal="center"/>
    </xf>
    <xf numFmtId="43" fontId="1" fillId="0" borderId="0" xfId="2" applyFont="1"/>
    <xf numFmtId="43" fontId="0" fillId="0" borderId="0" xfId="0" applyNumberFormat="1"/>
    <xf numFmtId="2" fontId="0" fillId="0" borderId="0" xfId="0" applyNumberFormat="1"/>
    <xf numFmtId="43" fontId="19" fillId="0" borderId="0" xfId="2" applyFont="1"/>
    <xf numFmtId="43" fontId="12" fillId="0" borderId="0" xfId="0" applyNumberFormat="1" applyFont="1"/>
    <xf numFmtId="43" fontId="1" fillId="0" borderId="0" xfId="0" applyNumberFormat="1" applyFont="1"/>
    <xf numFmtId="10" fontId="3" fillId="0" borderId="0" xfId="1" applyNumberFormat="1" applyFont="1"/>
    <xf numFmtId="0" fontId="1" fillId="0" borderId="0" xfId="0" applyFont="1" applyAlignment="1">
      <alignment horizontal="center" readingOrder="2"/>
    </xf>
    <xf numFmtId="43" fontId="2" fillId="0" borderId="0" xfId="0" applyNumberFormat="1" applyFont="1"/>
    <xf numFmtId="0" fontId="0" fillId="0" borderId="0" xfId="0" applyBorder="1"/>
    <xf numFmtId="43" fontId="2" fillId="0" borderId="0" xfId="0" applyNumberFormat="1" applyFont="1" applyBorder="1"/>
    <xf numFmtId="43" fontId="2" fillId="0" borderId="0" xfId="2" applyFont="1" applyBorder="1"/>
    <xf numFmtId="43" fontId="20" fillId="0" borderId="0" xfId="0" applyNumberFormat="1" applyFont="1"/>
    <xf numFmtId="0" fontId="0" fillId="0" borderId="0" xfId="0" applyAlignment="1">
      <alignment horizontal="center"/>
    </xf>
    <xf numFmtId="0" fontId="21" fillId="0" borderId="10" xfId="0" applyFont="1" applyBorder="1"/>
    <xf numFmtId="0" fontId="0" fillId="0" borderId="11" xfId="0" applyBorder="1"/>
    <xf numFmtId="0" fontId="0" fillId="0" borderId="11" xfId="0" applyBorder="1" applyAlignment="1">
      <alignment horizontal="center"/>
    </xf>
    <xf numFmtId="170" fontId="22" fillId="0" borderId="11" xfId="0" applyNumberFormat="1" applyFont="1" applyBorder="1" applyAlignment="1">
      <alignment horizontal="center" readingOrder="2"/>
    </xf>
    <xf numFmtId="171" fontId="22" fillId="0" borderId="12" xfId="0" applyNumberFormat="1" applyFont="1" applyBorder="1" applyAlignment="1">
      <alignment horizontal="right" readingOrder="2"/>
    </xf>
    <xf numFmtId="0" fontId="21" fillId="0" borderId="6" xfId="0" applyFont="1" applyBorder="1"/>
    <xf numFmtId="0" fontId="21" fillId="0" borderId="7" xfId="0" applyFont="1" applyBorder="1" applyAlignment="1">
      <alignment horizontal="center"/>
    </xf>
    <xf numFmtId="0" fontId="21" fillId="0" borderId="0" xfId="0" applyFont="1"/>
    <xf numFmtId="0" fontId="21" fillId="0" borderId="6" xfId="0" applyFont="1" applyBorder="1" applyAlignment="1">
      <alignment horizontal="right"/>
    </xf>
    <xf numFmtId="0" fontId="0" fillId="0" borderId="7" xfId="0" applyBorder="1"/>
    <xf numFmtId="0" fontId="21" fillId="0" borderId="13" xfId="0" applyFont="1" applyBorder="1" applyAlignment="1">
      <alignment horizontal="right" readingOrder="2"/>
    </xf>
    <xf numFmtId="0" fontId="21" fillId="0" borderId="7" xfId="0" applyFont="1" applyBorder="1" applyAlignment="1">
      <alignment horizontal="right" readingOrder="2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9" fontId="24" fillId="0" borderId="21" xfId="1" quotePrefix="1" applyFont="1" applyBorder="1" applyAlignment="1">
      <alignment horizontal="center" readingOrder="2"/>
    </xf>
    <xf numFmtId="0" fontId="24" fillId="0" borderId="0" xfId="0" quotePrefix="1" applyFont="1" applyAlignment="1">
      <alignment horizontal="center"/>
    </xf>
    <xf numFmtId="0" fontId="0" fillId="0" borderId="16" xfId="0" applyBorder="1" applyAlignment="1">
      <alignment horizontal="center"/>
    </xf>
    <xf numFmtId="5" fontId="0" fillId="0" borderId="22" xfId="0" applyNumberFormat="1" applyBorder="1"/>
    <xf numFmtId="5" fontId="0" fillId="0" borderId="4" xfId="0" applyNumberFormat="1" applyBorder="1"/>
    <xf numFmtId="5" fontId="0" fillId="0" borderId="19" xfId="0" applyNumberFormat="1" applyBorder="1"/>
    <xf numFmtId="0" fontId="0" fillId="2" borderId="20" xfId="0" applyFill="1" applyBorder="1" applyAlignment="1">
      <alignment horizontal="center"/>
    </xf>
    <xf numFmtId="9" fontId="0" fillId="0" borderId="21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5" fontId="0" fillId="0" borderId="23" xfId="0" applyNumberFormat="1" applyBorder="1" applyAlignment="1">
      <alignment horizontal="center"/>
    </xf>
    <xf numFmtId="5" fontId="0" fillId="0" borderId="24" xfId="0" applyNumberFormat="1" applyBorder="1"/>
    <xf numFmtId="5" fontId="0" fillId="0" borderId="25" xfId="0" applyNumberFormat="1" applyBorder="1"/>
    <xf numFmtId="5" fontId="0" fillId="0" borderId="5" xfId="0" applyNumberFormat="1" applyBorder="1"/>
    <xf numFmtId="172" fontId="0" fillId="0" borderId="20" xfId="0" applyNumberFormat="1" applyBorder="1" applyAlignment="1">
      <alignment horizontal="center" readingOrder="2"/>
    </xf>
    <xf numFmtId="173" fontId="0" fillId="0" borderId="21" xfId="0" applyNumberFormat="1" applyBorder="1" applyAlignment="1">
      <alignment horizontal="center" readingOrder="2"/>
    </xf>
    <xf numFmtId="5" fontId="22" fillId="0" borderId="23" xfId="0" applyNumberFormat="1" applyFont="1" applyBorder="1" applyAlignment="1">
      <alignment horizontal="center"/>
    </xf>
    <xf numFmtId="5" fontId="23" fillId="0" borderId="24" xfId="0" applyNumberFormat="1" applyFont="1" applyBorder="1"/>
    <xf numFmtId="5" fontId="23" fillId="0" borderId="25" xfId="0" applyNumberFormat="1" applyFont="1" applyBorder="1"/>
    <xf numFmtId="5" fontId="23" fillId="0" borderId="5" xfId="0" applyNumberFormat="1" applyFont="1" applyBorder="1" applyAlignment="1">
      <alignment horizontal="center"/>
    </xf>
    <xf numFmtId="174" fontId="22" fillId="0" borderId="21" xfId="1" applyNumberFormat="1" applyFont="1" applyBorder="1" applyAlignment="1">
      <alignment horizontal="center"/>
    </xf>
    <xf numFmtId="0" fontId="22" fillId="0" borderId="0" xfId="0" applyFont="1"/>
    <xf numFmtId="0" fontId="0" fillId="0" borderId="26" xfId="0" applyBorder="1" applyAlignment="1">
      <alignment horizontal="center"/>
    </xf>
    <xf numFmtId="9" fontId="25" fillId="0" borderId="24" xfId="0" applyNumberFormat="1" applyFont="1" applyBorder="1" applyAlignment="1">
      <alignment horizontal="center"/>
    </xf>
    <xf numFmtId="9" fontId="25" fillId="0" borderId="25" xfId="0" applyNumberFormat="1" applyFont="1" applyBorder="1" applyAlignment="1">
      <alignment horizontal="center" readingOrder="2"/>
    </xf>
    <xf numFmtId="9" fontId="25" fillId="0" borderId="27" xfId="0" applyNumberFormat="1" applyFont="1" applyBorder="1" applyAlignment="1">
      <alignment horizontal="center" readingOrder="2"/>
    </xf>
    <xf numFmtId="169" fontId="0" fillId="0" borderId="21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9" fontId="26" fillId="0" borderId="24" xfId="1" applyFont="1" applyFill="1" applyBorder="1" applyAlignment="1">
      <alignment horizontal="center"/>
    </xf>
    <xf numFmtId="9" fontId="26" fillId="0" borderId="25" xfId="1" applyFont="1" applyFill="1" applyBorder="1" applyAlignment="1">
      <alignment horizontal="center"/>
    </xf>
    <xf numFmtId="9" fontId="26" fillId="0" borderId="5" xfId="1" applyFont="1" applyFill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28" xfId="0" applyBorder="1" applyAlignment="1">
      <alignment horizontal="center"/>
    </xf>
    <xf numFmtId="169" fontId="0" fillId="0" borderId="29" xfId="1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169" fontId="0" fillId="0" borderId="31" xfId="1" applyNumberFormat="1" applyFont="1" applyBorder="1" applyAlignment="1">
      <alignment horizontal="center"/>
    </xf>
    <xf numFmtId="9" fontId="27" fillId="0" borderId="0" xfId="1" applyFont="1" applyBorder="1" applyAlignment="1">
      <alignment horizontal="center"/>
    </xf>
    <xf numFmtId="0" fontId="0" fillId="0" borderId="9" xfId="0" applyBorder="1" applyAlignment="1">
      <alignment horizontal="center"/>
    </xf>
    <xf numFmtId="169" fontId="28" fillId="0" borderId="9" xfId="1" applyNumberFormat="1" applyFont="1" applyFill="1" applyBorder="1" applyAlignment="1">
      <alignment horizontal="center"/>
    </xf>
    <xf numFmtId="9" fontId="26" fillId="0" borderId="9" xfId="1" applyFont="1" applyFill="1" applyBorder="1" applyAlignment="1">
      <alignment horizontal="center"/>
    </xf>
    <xf numFmtId="169" fontId="0" fillId="0" borderId="27" xfId="1" applyNumberFormat="1" applyFont="1" applyBorder="1" applyAlignment="1">
      <alignment horizontal="center"/>
    </xf>
    <xf numFmtId="169" fontId="0" fillId="0" borderId="0" xfId="1" applyNumberFormat="1" applyFont="1" applyBorder="1" applyAlignment="1">
      <alignment horizontal="center"/>
    </xf>
    <xf numFmtId="169" fontId="0" fillId="0" borderId="9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26" fillId="0" borderId="0" xfId="1" applyFont="1" applyFill="1" applyBorder="1" applyAlignment="1">
      <alignment horizontal="center"/>
    </xf>
    <xf numFmtId="10" fontId="26" fillId="0" borderId="25" xfId="1" applyNumberFormat="1" applyFont="1" applyFill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9" fontId="26" fillId="0" borderId="32" xfId="1" applyFont="1" applyFill="1" applyBorder="1" applyAlignment="1">
      <alignment horizontal="center"/>
    </xf>
    <xf numFmtId="9" fontId="26" fillId="0" borderId="33" xfId="1" applyFont="1" applyFill="1" applyBorder="1" applyAlignment="1">
      <alignment horizontal="center"/>
    </xf>
    <xf numFmtId="9" fontId="26" fillId="0" borderId="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78" fontId="0" fillId="0" borderId="0" xfId="0" applyNumberFormat="1" applyAlignment="1">
      <alignment horizontal="center" readingOrder="2"/>
    </xf>
    <xf numFmtId="0" fontId="0" fillId="0" borderId="34" xfId="0" applyBorder="1"/>
    <xf numFmtId="0" fontId="0" fillId="0" borderId="9" xfId="0" applyBorder="1"/>
    <xf numFmtId="0" fontId="0" fillId="0" borderId="0" xfId="0" applyAlignment="1">
      <alignment horizontal="right"/>
    </xf>
    <xf numFmtId="164" fontId="0" fillId="0" borderId="0" xfId="0" applyNumberFormat="1" applyBorder="1"/>
    <xf numFmtId="0" fontId="2" fillId="0" borderId="0" xfId="0" applyFont="1" applyBorder="1"/>
    <xf numFmtId="0" fontId="5" fillId="0" borderId="19" xfId="0" applyFont="1" applyBorder="1"/>
    <xf numFmtId="164" fontId="2" fillId="0" borderId="18" xfId="0" applyNumberFormat="1" applyFont="1" applyBorder="1"/>
    <xf numFmtId="164" fontId="2" fillId="0" borderId="13" xfId="0" applyNumberFormat="1" applyFont="1" applyBorder="1"/>
    <xf numFmtId="0" fontId="3" fillId="0" borderId="0" xfId="0" applyFont="1"/>
    <xf numFmtId="0" fontId="0" fillId="0" borderId="19" xfId="0" applyBorder="1"/>
    <xf numFmtId="0" fontId="3" fillId="0" borderId="0" xfId="0" applyFont="1" applyBorder="1"/>
    <xf numFmtId="0" fontId="2" fillId="0" borderId="18" xfId="0" applyFont="1" applyBorder="1"/>
    <xf numFmtId="164" fontId="0" fillId="0" borderId="19" xfId="0" applyNumberFormat="1" applyBorder="1"/>
    <xf numFmtId="0" fontId="2" fillId="0" borderId="13" xfId="0" applyFont="1" applyBorder="1"/>
    <xf numFmtId="164" fontId="0" fillId="0" borderId="13" xfId="0" applyNumberFormat="1" applyBorder="1"/>
    <xf numFmtId="0" fontId="2" fillId="0" borderId="0" xfId="0" applyFont="1" applyFill="1" applyBorder="1"/>
    <xf numFmtId="0" fontId="0" fillId="0" borderId="1" xfId="0" applyBorder="1"/>
    <xf numFmtId="164" fontId="0" fillId="0" borderId="2" xfId="0" applyNumberFormat="1" applyBorder="1"/>
    <xf numFmtId="9" fontId="0" fillId="0" borderId="4" xfId="0" applyNumberFormat="1" applyBorder="1"/>
    <xf numFmtId="0" fontId="2" fillId="0" borderId="6" xfId="0" applyFont="1" applyBorder="1"/>
    <xf numFmtId="9" fontId="0" fillId="0" borderId="7" xfId="0" applyNumberFormat="1" applyBorder="1"/>
    <xf numFmtId="0" fontId="0" fillId="0" borderId="0" xfId="0" applyAlignment="1">
      <alignment readingOrder="2"/>
    </xf>
    <xf numFmtId="10" fontId="0" fillId="0" borderId="0" xfId="1" applyNumberFormat="1" applyFont="1" applyAlignment="1">
      <alignment horizontal="center"/>
    </xf>
    <xf numFmtId="200" fontId="0" fillId="0" borderId="0" xfId="2" applyNumberFormat="1" applyFont="1"/>
    <xf numFmtId="200" fontId="0" fillId="0" borderId="0" xfId="0" applyNumberFormat="1"/>
    <xf numFmtId="169" fontId="0" fillId="0" borderId="0" xfId="0" applyNumberFormat="1"/>
    <xf numFmtId="10" fontId="2" fillId="0" borderId="0" xfId="1" applyNumberFormat="1" applyFont="1"/>
    <xf numFmtId="0" fontId="29" fillId="0" borderId="0" xfId="0" applyFont="1" applyAlignment="1">
      <alignment horizontal="center"/>
    </xf>
    <xf numFmtId="0" fontId="0" fillId="0" borderId="0" xfId="0" applyNumberFormat="1"/>
    <xf numFmtId="164" fontId="1" fillId="0" borderId="0" xfId="0" applyNumberFormat="1" applyFont="1"/>
    <xf numFmtId="5" fontId="0" fillId="0" borderId="0" xfId="2" applyNumberFormat="1" applyFont="1"/>
    <xf numFmtId="9" fontId="0" fillId="0" borderId="35" xfId="1" applyFont="1" applyBorder="1"/>
    <xf numFmtId="0" fontId="0" fillId="0" borderId="35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3" fillId="0" borderId="41" xfId="0" applyFont="1" applyBorder="1" applyAlignment="1">
      <alignment horizontal="left"/>
    </xf>
    <xf numFmtId="5" fontId="0" fillId="0" borderId="24" xfId="2" applyNumberFormat="1" applyFont="1" applyBorder="1"/>
    <xf numFmtId="0" fontId="0" fillId="0" borderId="6" xfId="0" applyBorder="1"/>
    <xf numFmtId="0" fontId="0" fillId="0" borderId="3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5" fontId="0" fillId="0" borderId="8" xfId="2" applyNumberFormat="1" applyFont="1" applyBorder="1"/>
    <xf numFmtId="5" fontId="0" fillId="0" borderId="5" xfId="2" applyNumberFormat="1" applyFont="1" applyBorder="1"/>
    <xf numFmtId="0" fontId="1" fillId="0" borderId="8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2" fontId="3" fillId="0" borderId="3" xfId="0" applyNumberFormat="1" applyFont="1" applyBorder="1"/>
    <xf numFmtId="2" fontId="2" fillId="0" borderId="2" xfId="0" applyNumberFormat="1" applyFont="1" applyBorder="1"/>
    <xf numFmtId="2" fontId="2" fillId="0" borderId="3" xfId="0" applyNumberFormat="1" applyFont="1" applyBorder="1"/>
    <xf numFmtId="2" fontId="1" fillId="0" borderId="0" xfId="0" applyNumberFormat="1" applyFont="1" applyAlignment="1">
      <alignment horizontal="left"/>
    </xf>
    <xf numFmtId="10" fontId="1" fillId="0" borderId="0" xfId="0" applyNumberFormat="1" applyFont="1"/>
    <xf numFmtId="0" fontId="1" fillId="0" borderId="43" xfId="0" applyFont="1" applyBorder="1" applyAlignment="1">
      <alignment horizontal="center"/>
    </xf>
    <xf numFmtId="5" fontId="0" fillId="0" borderId="18" xfId="2" applyNumberFormat="1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0" fillId="0" borderId="24" xfId="0" applyBorder="1"/>
    <xf numFmtId="0" fontId="0" fillId="0" borderId="44" xfId="0" applyBorder="1"/>
    <xf numFmtId="0" fontId="2" fillId="0" borderId="1" xfId="0" applyFont="1" applyBorder="1" applyAlignment="1">
      <alignment horizontal="right" vertical="top"/>
    </xf>
    <xf numFmtId="0" fontId="0" fillId="0" borderId="8" xfId="0" applyBorder="1"/>
    <xf numFmtId="10" fontId="1" fillId="0" borderId="42" xfId="1" applyNumberFormat="1" applyFont="1" applyBorder="1" applyAlignment="1">
      <alignment horizontal="right"/>
    </xf>
    <xf numFmtId="0" fontId="0" fillId="0" borderId="45" xfId="0" applyBorder="1"/>
    <xf numFmtId="0" fontId="1" fillId="0" borderId="1" xfId="0" applyFont="1" applyBorder="1" applyAlignment="1">
      <alignment horizontal="right" vertical="top" readingOrder="2"/>
    </xf>
    <xf numFmtId="247" fontId="1" fillId="0" borderId="46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16" xfId="0" applyFont="1" applyBorder="1" applyAlignment="1">
      <alignment horizontal="right" vertical="top" readingOrder="2"/>
    </xf>
    <xf numFmtId="0" fontId="2" fillId="0" borderId="19" xfId="0" applyFont="1" applyBorder="1" applyAlignment="1">
      <alignment horizontal="right"/>
    </xf>
    <xf numFmtId="0" fontId="1" fillId="0" borderId="23" xfId="0" applyFont="1" applyBorder="1"/>
    <xf numFmtId="0" fontId="0" fillId="0" borderId="35" xfId="0" applyBorder="1" applyAlignment="1">
      <alignment horizontal="left"/>
    </xf>
    <xf numFmtId="10" fontId="0" fillId="0" borderId="42" xfId="1" applyNumberFormat="1" applyFont="1" applyBorder="1"/>
    <xf numFmtId="10" fontId="1" fillId="0" borderId="0" xfId="1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0" fillId="0" borderId="5" xfId="0" applyBorder="1"/>
    <xf numFmtId="10" fontId="1" fillId="0" borderId="8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0" fillId="0" borderId="5" xfId="0" applyNumberFormat="1" applyBorder="1"/>
    <xf numFmtId="0" fontId="0" fillId="0" borderId="5" xfId="0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5" fontId="1" fillId="0" borderId="6" xfId="0" applyNumberFormat="1" applyFont="1" applyBorder="1"/>
    <xf numFmtId="173" fontId="0" fillId="0" borderId="0" xfId="0" applyNumberFormat="1" applyAlignment="1">
      <alignment horizontal="center" readingOrder="2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Fill="1" applyBorder="1"/>
    <xf numFmtId="178" fontId="1" fillId="0" borderId="0" xfId="0" applyNumberFormat="1" applyFont="1" applyBorder="1" applyAlignment="1">
      <alignment horizontal="center" readingOrder="2"/>
    </xf>
    <xf numFmtId="2" fontId="0" fillId="0" borderId="3" xfId="0" applyNumberForma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16" xfId="0" applyFont="1" applyBorder="1" applyAlignment="1">
      <alignment readingOrder="2"/>
    </xf>
    <xf numFmtId="0" fontId="0" fillId="0" borderId="23" xfId="0" applyBorder="1"/>
    <xf numFmtId="10" fontId="1" fillId="0" borderId="23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/>
    <xf numFmtId="0" fontId="0" fillId="0" borderId="46" xfId="0" applyBorder="1"/>
    <xf numFmtId="178" fontId="1" fillId="0" borderId="36" xfId="0" applyNumberFormat="1" applyFont="1" applyBorder="1" applyAlignment="1">
      <alignment horizontal="center" readingOrder="2"/>
    </xf>
    <xf numFmtId="5" fontId="1" fillId="0" borderId="36" xfId="2" applyNumberFormat="1" applyFont="1" applyBorder="1" applyAlignment="1"/>
    <xf numFmtId="0" fontId="3" fillId="3" borderId="2" xfId="0" applyFont="1" applyFill="1" applyBorder="1"/>
    <xf numFmtId="0" fontId="1" fillId="3" borderId="3" xfId="0" applyFont="1" applyFill="1" applyBorder="1"/>
    <xf numFmtId="0" fontId="0" fillId="3" borderId="46" xfId="0" applyFill="1" applyBorder="1"/>
    <xf numFmtId="249" fontId="1" fillId="3" borderId="0" xfId="0" applyNumberFormat="1" applyFont="1" applyFill="1" applyBorder="1" applyAlignment="1">
      <alignment horizontal="left"/>
    </xf>
    <xf numFmtId="247" fontId="3" fillId="4" borderId="0" xfId="0" applyNumberFormat="1" applyFont="1" applyFill="1" applyBorder="1" applyAlignment="1">
      <alignment horizontal="left"/>
    </xf>
    <xf numFmtId="0" fontId="3" fillId="4" borderId="2" xfId="0" applyFont="1" applyFill="1" applyBorder="1"/>
    <xf numFmtId="247" fontId="3" fillId="0" borderId="0" xfId="0" applyNumberFormat="1" applyFont="1" applyBorder="1" applyAlignment="1">
      <alignment horizontal="center"/>
    </xf>
    <xf numFmtId="0" fontId="2" fillId="3" borderId="3" xfId="0" applyFont="1" applyFill="1" applyBorder="1"/>
    <xf numFmtId="0" fontId="2" fillId="4" borderId="0" xfId="0" applyFont="1" applyFill="1" applyBorder="1" applyAlignment="1">
      <alignment horizontal="center"/>
    </xf>
    <xf numFmtId="169" fontId="0" fillId="0" borderId="47" xfId="1" applyNumberFormat="1" applyFont="1" applyBorder="1" applyAlignment="1">
      <alignment horizontal="center"/>
    </xf>
    <xf numFmtId="246" fontId="3" fillId="0" borderId="0" xfId="0" applyNumberFormat="1" applyFont="1" applyBorder="1" applyAlignment="1">
      <alignment horizontal="center"/>
    </xf>
    <xf numFmtId="10" fontId="10" fillId="4" borderId="9" xfId="1" applyNumberFormat="1" applyFont="1" applyFill="1" applyBorder="1"/>
    <xf numFmtId="0" fontId="2" fillId="4" borderId="0" xfId="0" applyFont="1" applyFill="1" applyAlignment="1">
      <alignment readingOrder="2"/>
    </xf>
    <xf numFmtId="0" fontId="0" fillId="4" borderId="0" xfId="0" applyFill="1"/>
    <xf numFmtId="165" fontId="0" fillId="0" borderId="0" xfId="0" applyNumberFormat="1" applyBorder="1"/>
    <xf numFmtId="10" fontId="10" fillId="3" borderId="9" xfId="1" applyNumberFormat="1" applyFont="1" applyFill="1" applyBorder="1"/>
    <xf numFmtId="0" fontId="1" fillId="0" borderId="0" xfId="0" applyFont="1" applyFill="1" applyBorder="1"/>
    <xf numFmtId="170" fontId="22" fillId="0" borderId="0" xfId="0" applyNumberFormat="1" applyFont="1" applyBorder="1" applyAlignment="1">
      <alignment horizontal="center" readingOrder="2"/>
    </xf>
    <xf numFmtId="171" fontId="22" fillId="0" borderId="0" xfId="0" applyNumberFormat="1" applyFont="1" applyBorder="1" applyAlignment="1">
      <alignment horizontal="right" readingOrder="2"/>
    </xf>
    <xf numFmtId="0" fontId="21" fillId="0" borderId="0" xfId="0" applyFont="1" applyBorder="1"/>
    <xf numFmtId="0" fontId="23" fillId="0" borderId="0" xfId="0" applyFont="1" applyBorder="1" applyAlignment="1">
      <alignment horizontal="center"/>
    </xf>
    <xf numFmtId="9" fontId="24" fillId="0" borderId="0" xfId="1" quotePrefix="1" applyFont="1" applyBorder="1" applyAlignment="1">
      <alignment horizontal="center" readingOrder="2"/>
    </xf>
    <xf numFmtId="0" fontId="24" fillId="0" borderId="0" xfId="0" quotePrefix="1" applyFont="1" applyBorder="1" applyAlignment="1">
      <alignment horizontal="center"/>
    </xf>
    <xf numFmtId="5" fontId="0" fillId="0" borderId="0" xfId="0" applyNumberFormat="1" applyBorder="1"/>
    <xf numFmtId="9" fontId="0" fillId="0" borderId="0" xfId="0" applyNumberForma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173" fontId="0" fillId="0" borderId="0" xfId="0" applyNumberFormat="1" applyBorder="1" applyAlignment="1">
      <alignment horizontal="center" readingOrder="2"/>
    </xf>
    <xf numFmtId="5" fontId="22" fillId="0" borderId="0" xfId="0" applyNumberFormat="1" applyFont="1" applyBorder="1" applyAlignment="1">
      <alignment horizontal="center"/>
    </xf>
    <xf numFmtId="5" fontId="23" fillId="0" borderId="0" xfId="0" applyNumberFormat="1" applyFont="1" applyBorder="1"/>
    <xf numFmtId="5" fontId="23" fillId="0" borderId="0" xfId="0" applyNumberFormat="1" applyFont="1" applyBorder="1" applyAlignment="1">
      <alignment horizontal="center"/>
    </xf>
    <xf numFmtId="174" fontId="22" fillId="0" borderId="0" xfId="1" applyNumberFormat="1" applyFont="1" applyBorder="1" applyAlignment="1">
      <alignment horizontal="center"/>
    </xf>
    <xf numFmtId="0" fontId="22" fillId="0" borderId="0" xfId="0" applyFont="1" applyBorder="1"/>
    <xf numFmtId="9" fontId="25" fillId="0" borderId="0" xfId="0" applyNumberFormat="1" applyFont="1" applyBorder="1" applyAlignment="1">
      <alignment horizontal="center"/>
    </xf>
    <xf numFmtId="9" fontId="25" fillId="0" borderId="0" xfId="0" applyNumberFormat="1" applyFont="1" applyBorder="1" applyAlignment="1">
      <alignment horizontal="center" readingOrder="2"/>
    </xf>
    <xf numFmtId="169" fontId="28" fillId="0" borderId="0" xfId="1" applyNumberFormat="1" applyFont="1" applyFill="1" applyBorder="1" applyAlignment="1">
      <alignment horizontal="center"/>
    </xf>
    <xf numFmtId="10" fontId="26" fillId="0" borderId="0" xfId="1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2" borderId="0" xfId="0" applyFill="1" applyBorder="1" applyAlignment="1">
      <alignment horizontal="center"/>
    </xf>
    <xf numFmtId="172" fontId="0" fillId="0" borderId="0" xfId="0" applyNumberFormat="1" applyBorder="1" applyAlignment="1">
      <alignment horizontal="center" readingOrder="2"/>
    </xf>
    <xf numFmtId="0" fontId="3" fillId="0" borderId="0" xfId="0" applyFont="1" applyBorder="1" applyAlignment="1">
      <alignment horizontal="left"/>
    </xf>
    <xf numFmtId="164" fontId="0" fillId="0" borderId="4" xfId="0" applyNumberFormat="1" applyBorder="1"/>
    <xf numFmtId="164" fontId="0" fillId="0" borderId="7" xfId="0" applyNumberFormat="1" applyBorder="1"/>
    <xf numFmtId="0" fontId="5" fillId="0" borderId="42" xfId="0" applyFont="1" applyBorder="1" applyAlignment="1">
      <alignment horizontal="center"/>
    </xf>
    <xf numFmtId="2" fontId="0" fillId="0" borderId="25" xfId="0" applyNumberFormat="1" applyBorder="1"/>
    <xf numFmtId="2" fontId="3" fillId="0" borderId="45" xfId="0" applyNumberFormat="1" applyFont="1" applyBorder="1"/>
    <xf numFmtId="0" fontId="2" fillId="0" borderId="41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5" fontId="0" fillId="0" borderId="5" xfId="2" applyNumberFormat="1" applyFont="1" applyBorder="1" applyAlignment="1">
      <alignment horizontal="center"/>
    </xf>
    <xf numFmtId="0" fontId="0" fillId="0" borderId="42" xfId="0" applyBorder="1"/>
    <xf numFmtId="9" fontId="0" fillId="0" borderId="45" xfId="1" applyFont="1" applyBorder="1"/>
    <xf numFmtId="164" fontId="0" fillId="0" borderId="25" xfId="2" applyNumberFormat="1" applyFont="1" applyBorder="1"/>
    <xf numFmtId="0" fontId="0" fillId="3" borderId="49" xfId="0" applyFill="1" applyBorder="1"/>
    <xf numFmtId="0" fontId="3" fillId="3" borderId="38" xfId="0" applyFont="1" applyFill="1" applyBorder="1"/>
    <xf numFmtId="0" fontId="0" fillId="0" borderId="41" xfId="0" applyBorder="1"/>
    <xf numFmtId="164" fontId="1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164" fontId="0" fillId="0" borderId="24" xfId="0" applyNumberFormat="1" applyBorder="1"/>
    <xf numFmtId="2" fontId="1" fillId="0" borderId="35" xfId="0" applyNumberFormat="1" applyFont="1" applyBorder="1" applyAlignment="1">
      <alignment horizontal="left"/>
    </xf>
    <xf numFmtId="0" fontId="0" fillId="3" borderId="34" xfId="0" applyFill="1" applyBorder="1"/>
    <xf numFmtId="0" fontId="2" fillId="3" borderId="35" xfId="0" applyFont="1" applyFill="1" applyBorder="1" applyAlignment="1">
      <alignment readingOrder="2"/>
    </xf>
    <xf numFmtId="10" fontId="10" fillId="3" borderId="48" xfId="1" applyNumberFormat="1" applyFont="1" applyFill="1" applyBorder="1"/>
    <xf numFmtId="164" fontId="1" fillId="0" borderId="41" xfId="0" applyNumberFormat="1" applyFont="1" applyBorder="1" applyAlignment="1">
      <alignment horizontal="center"/>
    </xf>
    <xf numFmtId="10" fontId="1" fillId="0" borderId="34" xfId="1" applyNumberFormat="1" applyFont="1" applyBorder="1" applyAlignment="1">
      <alignment horizontal="center"/>
    </xf>
    <xf numFmtId="249" fontId="1" fillId="3" borderId="35" xfId="0" applyNumberFormat="1" applyFont="1" applyFill="1" applyBorder="1" applyAlignment="1">
      <alignment horizontal="left"/>
    </xf>
    <xf numFmtId="0" fontId="1" fillId="0" borderId="35" xfId="0" applyFont="1" applyBorder="1"/>
    <xf numFmtId="164" fontId="1" fillId="0" borderId="40" xfId="0" applyNumberFormat="1" applyFont="1" applyBorder="1"/>
    <xf numFmtId="10" fontId="1" fillId="0" borderId="41" xfId="1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5" fontId="1" fillId="0" borderId="3" xfId="0" applyNumberFormat="1" applyFont="1" applyBorder="1"/>
    <xf numFmtId="173" fontId="0" fillId="0" borderId="39" xfId="0" applyNumberFormat="1" applyBorder="1" applyAlignment="1">
      <alignment horizontal="center" readingOrder="2"/>
    </xf>
    <xf numFmtId="246" fontId="3" fillId="0" borderId="24" xfId="0" applyNumberFormat="1" applyFont="1" applyBorder="1" applyAlignment="1">
      <alignment horizontal="center"/>
    </xf>
    <xf numFmtId="0" fontId="3" fillId="0" borderId="41" xfId="0" applyFont="1" applyBorder="1"/>
    <xf numFmtId="0" fontId="0" fillId="4" borderId="34" xfId="0" applyFill="1" applyBorder="1"/>
    <xf numFmtId="0" fontId="2" fillId="4" borderId="35" xfId="0" applyFont="1" applyFill="1" applyBorder="1" applyAlignment="1">
      <alignment readingOrder="2"/>
    </xf>
    <xf numFmtId="10" fontId="10" fillId="4" borderId="14" xfId="1" applyNumberFormat="1" applyFont="1" applyFill="1" applyBorder="1"/>
    <xf numFmtId="178" fontId="2" fillId="0" borderId="36" xfId="0" applyNumberFormat="1" applyFont="1" applyBorder="1" applyAlignment="1">
      <alignment horizontal="center" readingOrder="2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workbookViewId="0">
      <selection activeCell="G10" sqref="G10"/>
    </sheetView>
  </sheetViews>
  <sheetFormatPr defaultRowHeight="12.7" x14ac:dyDescent="0.25"/>
  <cols>
    <col min="3" max="3" width="11" bestFit="1" customWidth="1"/>
    <col min="6" max="6" width="10.109375" bestFit="1" customWidth="1"/>
    <col min="8" max="8" width="9.6640625" customWidth="1"/>
    <col min="9" max="9" width="11.109375" customWidth="1"/>
    <col min="12" max="12" width="10.109375" bestFit="1" customWidth="1"/>
  </cols>
  <sheetData>
    <row r="1" spans="3:12" s="13" customFormat="1" ht="15.55" x14ac:dyDescent="0.3">
      <c r="G1" s="22"/>
      <c r="J1" s="13" t="s">
        <v>14</v>
      </c>
    </row>
    <row r="2" spans="3:12" s="13" customFormat="1" ht="15.55" x14ac:dyDescent="0.3">
      <c r="I2" s="5" t="s">
        <v>16</v>
      </c>
    </row>
    <row r="3" spans="3:12" s="13" customFormat="1" ht="15.55" x14ac:dyDescent="0.3">
      <c r="I3" s="13" t="s">
        <v>11</v>
      </c>
    </row>
    <row r="4" spans="3:12" ht="13.25" thickBot="1" x14ac:dyDescent="0.3">
      <c r="H4" s="5" t="s">
        <v>13</v>
      </c>
    </row>
    <row r="5" spans="3:12" ht="13.25" thickBot="1" x14ac:dyDescent="0.3">
      <c r="F5" s="17" t="s">
        <v>1</v>
      </c>
      <c r="G5" s="18" t="s">
        <v>4</v>
      </c>
      <c r="H5" s="21"/>
      <c r="K5">
        <f>IF(L5=31/3/2014, 24, 22.33)</f>
        <v>22.33</v>
      </c>
      <c r="L5" s="60">
        <v>41729</v>
      </c>
    </row>
    <row r="6" spans="3:12" x14ac:dyDescent="0.25">
      <c r="C6" s="28"/>
      <c r="F6" s="26">
        <v>33706</v>
      </c>
      <c r="G6" s="19">
        <v>24</v>
      </c>
      <c r="H6" s="23" t="s">
        <v>2</v>
      </c>
    </row>
    <row r="7" spans="3:12" ht="13.25" thickBot="1" x14ac:dyDescent="0.3">
      <c r="C7" s="40"/>
      <c r="F7" s="27">
        <f>+'דרוג מחר'!C55</f>
        <v>14891.775332342784</v>
      </c>
      <c r="G7" s="30">
        <v>20.25</v>
      </c>
      <c r="H7" s="39" t="s">
        <v>3</v>
      </c>
    </row>
    <row r="8" spans="3:12" ht="13.25" thickBot="1" x14ac:dyDescent="0.3">
      <c r="I8" t="s">
        <v>20</v>
      </c>
    </row>
    <row r="9" spans="3:12" x14ac:dyDescent="0.25">
      <c r="D9" s="17" t="s">
        <v>43</v>
      </c>
      <c r="E9" s="19" t="s">
        <v>42</v>
      </c>
      <c r="F9" s="41" t="s">
        <v>21</v>
      </c>
      <c r="G9" s="32"/>
      <c r="H9" s="37"/>
      <c r="I9" s="21"/>
      <c r="K9" t="s">
        <v>0</v>
      </c>
    </row>
    <row r="10" spans="3:12" x14ac:dyDescent="0.25">
      <c r="D10" s="56">
        <f>F10*E10</f>
        <v>17567.270403072518</v>
      </c>
      <c r="E10" s="1">
        <v>0.7</v>
      </c>
      <c r="F10" s="28">
        <f>(($F$6*$G$6)+($F$7* G7))/G10</f>
        <v>25096.100575817887</v>
      </c>
      <c r="G10" s="5">
        <f>SUM(G6:G7)</f>
        <v>44.25</v>
      </c>
      <c r="H10" t="s">
        <v>5</v>
      </c>
      <c r="I10" s="33" t="s">
        <v>18</v>
      </c>
    </row>
    <row r="11" spans="3:12" ht="13.25" thickBot="1" x14ac:dyDescent="0.3">
      <c r="D11" s="34">
        <f>F11*E11</f>
        <v>19455.070573115412</v>
      </c>
      <c r="E11" s="35">
        <v>0.7</v>
      </c>
      <c r="F11" s="38">
        <f>(($F$6*$G$6)+($F$7*(35-G6)))/G11</f>
        <v>27792.957961593445</v>
      </c>
      <c r="G11" s="20">
        <f>35</f>
        <v>35</v>
      </c>
      <c r="H11" s="20" t="s">
        <v>19</v>
      </c>
      <c r="I11" s="36" t="s">
        <v>17</v>
      </c>
    </row>
    <row r="12" spans="3:12" x14ac:dyDescent="0.25">
      <c r="D12" s="31"/>
      <c r="E12" s="1"/>
      <c r="F12" s="28"/>
      <c r="G12" s="5"/>
      <c r="H12" s="5"/>
      <c r="I12" s="6"/>
    </row>
    <row r="13" spans="3:12" ht="15.55" x14ac:dyDescent="0.3">
      <c r="J13" s="13" t="s">
        <v>44</v>
      </c>
    </row>
    <row r="14" spans="3:12" x14ac:dyDescent="0.25">
      <c r="D14" t="s">
        <v>8</v>
      </c>
      <c r="F14" s="8">
        <v>0.02</v>
      </c>
      <c r="H14" s="6" t="s">
        <v>7</v>
      </c>
      <c r="I14" s="5" t="s">
        <v>0</v>
      </c>
    </row>
    <row r="15" spans="3:12" x14ac:dyDescent="0.25">
      <c r="D15" s="1">
        <f>F15/$F$17</f>
        <v>0.83160222622668267</v>
      </c>
      <c r="E15" s="1">
        <f>H15*$F$14</f>
        <v>0.48</v>
      </c>
      <c r="F15" s="28">
        <f>F6*E15</f>
        <v>16178.88</v>
      </c>
      <c r="G15" s="9">
        <f>H15/H17</f>
        <v>0.68571428571428572</v>
      </c>
      <c r="H15">
        <f>+G6</f>
        <v>24</v>
      </c>
      <c r="I15" s="5" t="s">
        <v>2</v>
      </c>
    </row>
    <row r="16" spans="3:12" x14ac:dyDescent="0.25">
      <c r="D16" s="4">
        <f>F16/$F$17</f>
        <v>0.16839777377331733</v>
      </c>
      <c r="E16" s="4">
        <f>H16*$F$14</f>
        <v>0.22</v>
      </c>
      <c r="F16" s="29">
        <f>F7*H16*F14</f>
        <v>3276.1905731154125</v>
      </c>
      <c r="G16" s="10">
        <f>H16/H17</f>
        <v>0.31428571428571428</v>
      </c>
      <c r="H16" s="12">
        <f>IF(H15&gt;35,0,35-H15)</f>
        <v>11</v>
      </c>
      <c r="I16" s="5" t="s">
        <v>3</v>
      </c>
    </row>
    <row r="17" spans="2:10" x14ac:dyDescent="0.25">
      <c r="D17" s="1">
        <f>SUM(D15:D16)</f>
        <v>1</v>
      </c>
      <c r="E17" s="7">
        <f>SUM(E15:E16)</f>
        <v>0.7</v>
      </c>
      <c r="F17" s="31">
        <f>SUM(F15:F16)</f>
        <v>19455.070573115412</v>
      </c>
      <c r="G17" s="9">
        <f>SUM(G15:G16)</f>
        <v>1</v>
      </c>
      <c r="H17" s="5">
        <f>SUM(H15:H16)</f>
        <v>35</v>
      </c>
      <c r="I17" s="2" t="s">
        <v>6</v>
      </c>
      <c r="J17" t="s">
        <v>0</v>
      </c>
    </row>
    <row r="18" spans="2:10" x14ac:dyDescent="0.25">
      <c r="F18" s="25" t="s">
        <v>12</v>
      </c>
      <c r="I18" t="s">
        <v>0</v>
      </c>
    </row>
    <row r="19" spans="2:10" ht="15.55" x14ac:dyDescent="0.3">
      <c r="J19" s="13" t="s">
        <v>45</v>
      </c>
    </row>
    <row r="20" spans="2:10" x14ac:dyDescent="0.25">
      <c r="D20" t="s">
        <v>8</v>
      </c>
      <c r="E20" t="s">
        <v>10</v>
      </c>
      <c r="F20" s="8">
        <v>0.02</v>
      </c>
      <c r="H20" s="6" t="s">
        <v>7</v>
      </c>
      <c r="I20" s="6" t="s">
        <v>1</v>
      </c>
      <c r="J20" s="15" t="s">
        <v>0</v>
      </c>
    </row>
    <row r="21" spans="2:10" x14ac:dyDescent="0.25">
      <c r="D21" s="9">
        <f>F21/F23</f>
        <v>0.72844864020821143</v>
      </c>
      <c r="E21" s="1">
        <f>H21*$F$14</f>
        <v>0.37966101694915255</v>
      </c>
      <c r="F21" s="28">
        <f>F6*$F$20*H21</f>
        <v>12796.854237288135</v>
      </c>
      <c r="G21" s="9">
        <f>H21/$H$23</f>
        <v>0.5423728813559322</v>
      </c>
      <c r="H21" s="2">
        <f>G6/$G$10*35</f>
        <v>18.983050847457626</v>
      </c>
      <c r="I21" s="5" t="s">
        <v>2</v>
      </c>
    </row>
    <row r="22" spans="2:10" x14ac:dyDescent="0.25">
      <c r="D22" s="10">
        <f>F22/F23</f>
        <v>0.27155135979178852</v>
      </c>
      <c r="E22" s="4">
        <f>H22*$F$14</f>
        <v>0.32033898305084746</v>
      </c>
      <c r="F22" s="29">
        <f>F7*$F$20*H22</f>
        <v>4770.4161657843833</v>
      </c>
      <c r="G22" s="10">
        <f>H22/$H$23</f>
        <v>0.4576271186440678</v>
      </c>
      <c r="H22" s="14">
        <f>G7/$G$10*35</f>
        <v>16.016949152542374</v>
      </c>
      <c r="I22" s="5" t="s">
        <v>3</v>
      </c>
    </row>
    <row r="23" spans="2:10" x14ac:dyDescent="0.25">
      <c r="D23" s="9">
        <f>SUM(D21:D22)</f>
        <v>1</v>
      </c>
      <c r="E23" s="7">
        <f>SUM(E21:E22)</f>
        <v>0.7</v>
      </c>
      <c r="F23" s="31">
        <f>SUM(F21:F22)</f>
        <v>17567.270403072518</v>
      </c>
      <c r="G23" s="9">
        <f>SUM(G21:G22)</f>
        <v>1</v>
      </c>
      <c r="H23" s="5">
        <f>SUM(H21:H22)</f>
        <v>35</v>
      </c>
      <c r="I23" s="16" t="s">
        <v>9</v>
      </c>
      <c r="J23" t="s">
        <v>0</v>
      </c>
    </row>
    <row r="24" spans="2:10" x14ac:dyDescent="0.25">
      <c r="F24" s="24" t="s">
        <v>12</v>
      </c>
    </row>
    <row r="25" spans="2:10" ht="15.55" x14ac:dyDescent="0.3">
      <c r="J25" s="13" t="s">
        <v>15</v>
      </c>
    </row>
    <row r="26" spans="2:10" x14ac:dyDescent="0.25">
      <c r="F26" t="s">
        <v>0</v>
      </c>
    </row>
    <row r="27" spans="2:10" x14ac:dyDescent="0.25">
      <c r="D27" t="s">
        <v>8</v>
      </c>
      <c r="E27" t="s">
        <v>10</v>
      </c>
      <c r="F27" s="8">
        <v>0.02</v>
      </c>
      <c r="H27" s="6" t="s">
        <v>7</v>
      </c>
      <c r="I27" s="6" t="s">
        <v>1</v>
      </c>
    </row>
    <row r="28" spans="2:10" x14ac:dyDescent="0.25">
      <c r="D28" s="9">
        <f>F28/F30</f>
        <v>0.69357084289346049</v>
      </c>
      <c r="E28" s="1">
        <f>H28*$F$14</f>
        <v>0.35000000000000003</v>
      </c>
      <c r="F28" s="28">
        <f>H28*F6*$F$27</f>
        <v>11797.1</v>
      </c>
      <c r="G28" s="9">
        <f>H28/H30</f>
        <v>0.5</v>
      </c>
      <c r="H28" s="2">
        <v>17.5</v>
      </c>
      <c r="I28" s="5" t="s">
        <v>2</v>
      </c>
    </row>
    <row r="29" spans="2:10" x14ac:dyDescent="0.25">
      <c r="B29" s="1"/>
      <c r="C29" s="2"/>
      <c r="D29" s="10">
        <f>F29/F30</f>
        <v>0.30642915710653967</v>
      </c>
      <c r="E29" s="4">
        <f>H29*$F$14</f>
        <v>0.35000000000000003</v>
      </c>
      <c r="F29" s="29">
        <f>H29*F7*$F$27</f>
        <v>5212.1213663199742</v>
      </c>
      <c r="G29" s="10">
        <f>H29/$H$23</f>
        <v>0.5</v>
      </c>
      <c r="H29" s="11">
        <v>17.5</v>
      </c>
      <c r="I29" s="5" t="s">
        <v>3</v>
      </c>
    </row>
    <row r="30" spans="2:10" x14ac:dyDescent="0.25">
      <c r="B30" s="4"/>
      <c r="C30" s="2"/>
      <c r="D30" s="9">
        <f>SUM(D28:D29)</f>
        <v>1.0000000000000002</v>
      </c>
      <c r="E30" s="7">
        <f>SUM(E28:E29)</f>
        <v>0.70000000000000007</v>
      </c>
      <c r="F30" s="31">
        <f>SUM(F28:F29)</f>
        <v>17009.221366319973</v>
      </c>
      <c r="G30" s="9">
        <f>SUM(G28:G29)</f>
        <v>1</v>
      </c>
      <c r="H30" s="5">
        <f>SUM(H28:H29)</f>
        <v>35</v>
      </c>
      <c r="I30" s="16" t="s">
        <v>9</v>
      </c>
    </row>
    <row r="31" spans="2:10" x14ac:dyDescent="0.25">
      <c r="B31" s="1"/>
      <c r="C31" s="3"/>
      <c r="D31" s="3"/>
      <c r="F31" s="24" t="s">
        <v>12</v>
      </c>
      <c r="G31" s="5"/>
      <c r="H31" s="2"/>
    </row>
  </sheetData>
  <phoneticPr fontId="4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3"/>
  <sheetViews>
    <sheetView topLeftCell="A49" workbookViewId="0">
      <selection activeCell="A17" sqref="A16:A17"/>
    </sheetView>
  </sheetViews>
  <sheetFormatPr defaultRowHeight="12.7" x14ac:dyDescent="0.25"/>
  <cols>
    <col min="23" max="23" width="8.109375" bestFit="1" customWidth="1"/>
  </cols>
  <sheetData>
    <row r="1" spans="2:30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ht="15.55" x14ac:dyDescent="0.3">
      <c r="B2" s="2"/>
      <c r="C2" s="2"/>
      <c r="D2" s="2"/>
      <c r="E2" s="2"/>
      <c r="F2" s="2"/>
      <c r="G2" s="2"/>
      <c r="J2" s="42"/>
      <c r="K2" s="42" t="s">
        <v>22</v>
      </c>
      <c r="L2" s="42"/>
      <c r="M2" s="42"/>
      <c r="N2" s="43"/>
      <c r="O2" s="43"/>
      <c r="P2" s="4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ht="15.55" x14ac:dyDescent="0.3">
      <c r="B3" s="2"/>
      <c r="C3" s="2"/>
      <c r="D3" s="2"/>
      <c r="E3" s="2"/>
      <c r="F3" s="2"/>
      <c r="I3" s="42"/>
      <c r="K3" s="44" t="s">
        <v>23</v>
      </c>
      <c r="L3" s="42"/>
      <c r="M3" s="42"/>
      <c r="N3" s="43"/>
      <c r="O3" s="4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2:30" ht="15.55" x14ac:dyDescent="0.3">
      <c r="B4" s="2"/>
      <c r="C4" s="2"/>
      <c r="D4" s="2"/>
      <c r="E4" s="2"/>
      <c r="F4" s="2"/>
      <c r="G4" s="2"/>
      <c r="H4" s="44"/>
      <c r="I4" s="44" t="s">
        <v>24</v>
      </c>
      <c r="J4" s="44" t="s">
        <v>25</v>
      </c>
      <c r="K4" s="44"/>
      <c r="L4" s="44"/>
      <c r="M4" s="4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2:30" ht="15.55" x14ac:dyDescent="0.3">
      <c r="B5" s="2"/>
      <c r="C5" s="2"/>
      <c r="D5" s="2"/>
      <c r="E5" s="2"/>
      <c r="F5" s="2"/>
      <c r="G5" s="2"/>
      <c r="H5" s="44"/>
      <c r="I5" s="44"/>
      <c r="J5" s="44"/>
      <c r="K5" s="44"/>
      <c r="L5" s="44"/>
      <c r="M5" s="4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2:30" ht="15.55" x14ac:dyDescent="0.3">
      <c r="B6" s="45" t="s">
        <v>26</v>
      </c>
      <c r="C6" s="46" t="s">
        <v>27</v>
      </c>
      <c r="D6" s="46">
        <v>46</v>
      </c>
      <c r="E6" s="46" t="s">
        <v>28</v>
      </c>
      <c r="F6" s="46">
        <v>45</v>
      </c>
      <c r="G6" s="46" t="s">
        <v>29</v>
      </c>
      <c r="H6" s="46">
        <v>44</v>
      </c>
      <c r="I6" s="46" t="s">
        <v>30</v>
      </c>
      <c r="J6" s="46">
        <v>43</v>
      </c>
      <c r="K6" s="46" t="s">
        <v>31</v>
      </c>
      <c r="L6" s="46">
        <v>42</v>
      </c>
      <c r="M6" s="46" t="s">
        <v>32</v>
      </c>
      <c r="N6" s="46">
        <v>41</v>
      </c>
      <c r="O6" s="46" t="s">
        <v>33</v>
      </c>
      <c r="P6" s="46">
        <v>40</v>
      </c>
      <c r="Q6" s="46" t="s">
        <v>34</v>
      </c>
      <c r="R6" s="46">
        <v>39</v>
      </c>
      <c r="S6" s="46" t="s">
        <v>35</v>
      </c>
      <c r="T6" s="46">
        <v>38</v>
      </c>
      <c r="U6" s="46" t="s">
        <v>36</v>
      </c>
      <c r="V6" s="46">
        <v>37</v>
      </c>
      <c r="W6" s="46" t="s">
        <v>37</v>
      </c>
      <c r="X6" s="46">
        <v>36</v>
      </c>
      <c r="Y6" s="46" t="s">
        <v>38</v>
      </c>
      <c r="Z6" s="46">
        <v>35</v>
      </c>
      <c r="AA6" s="46" t="s">
        <v>39</v>
      </c>
      <c r="AB6" s="46">
        <v>34</v>
      </c>
      <c r="AC6" s="45" t="s">
        <v>26</v>
      </c>
      <c r="AD6" s="47"/>
    </row>
    <row r="7" spans="2:30" ht="15.55" x14ac:dyDescent="0.3">
      <c r="B7" s="4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45"/>
      <c r="AD7" s="2"/>
    </row>
    <row r="8" spans="2:30" ht="15.55" x14ac:dyDescent="0.3">
      <c r="B8" s="49">
        <v>0</v>
      </c>
      <c r="C8" s="2">
        <v>7449.98</v>
      </c>
      <c r="D8" s="2">
        <v>6898.13</v>
      </c>
      <c r="E8" s="2">
        <v>6422.4</v>
      </c>
      <c r="F8" s="2">
        <v>5946.66</v>
      </c>
      <c r="G8" s="2">
        <v>5581.52</v>
      </c>
      <c r="H8" s="2">
        <v>5216.37</v>
      </c>
      <c r="I8" s="2">
        <v>4916.3100000000004</v>
      </c>
      <c r="J8" s="2">
        <v>4616.26</v>
      </c>
      <c r="K8" s="2">
        <v>4289.3500000000004</v>
      </c>
      <c r="L8" s="2">
        <v>3962.45</v>
      </c>
      <c r="M8" s="2">
        <v>3684.38</v>
      </c>
      <c r="N8" s="2">
        <v>3475.83</v>
      </c>
      <c r="O8" s="2">
        <v>3310.68</v>
      </c>
      <c r="P8" s="2">
        <v>3145.55</v>
      </c>
      <c r="Q8" s="2">
        <v>3002.57</v>
      </c>
      <c r="R8" s="2">
        <v>2859.59</v>
      </c>
      <c r="S8" s="2">
        <v>2741.53</v>
      </c>
      <c r="T8" s="2">
        <v>2623.47</v>
      </c>
      <c r="U8" s="2">
        <v>2438.52</v>
      </c>
      <c r="V8" s="2">
        <v>2344.73</v>
      </c>
      <c r="W8" s="2">
        <v>2257.89</v>
      </c>
      <c r="X8" s="2">
        <v>2171.04</v>
      </c>
      <c r="Y8" s="2">
        <v>2129.3000000000002</v>
      </c>
      <c r="Z8" s="2">
        <v>2087.5500000000002</v>
      </c>
      <c r="AA8" s="2">
        <v>2047.4</v>
      </c>
      <c r="AB8" s="2">
        <v>2007.26</v>
      </c>
      <c r="AC8" s="50">
        <v>0</v>
      </c>
      <c r="AD8" s="2"/>
    </row>
    <row r="9" spans="2:30" ht="15.55" x14ac:dyDescent="0.3">
      <c r="B9" s="49">
        <v>1</v>
      </c>
      <c r="C9" s="2">
        <f t="shared" ref="C9:AB18" si="0">C8+C8*1%</f>
        <v>7524.4797999999992</v>
      </c>
      <c r="D9" s="2">
        <f t="shared" si="0"/>
        <v>6967.1113000000005</v>
      </c>
      <c r="E9" s="2">
        <f t="shared" si="0"/>
        <v>6486.6239999999998</v>
      </c>
      <c r="F9" s="2">
        <f t="shared" si="0"/>
        <v>6006.1265999999996</v>
      </c>
      <c r="G9" s="2">
        <f t="shared" si="0"/>
        <v>5637.3352000000004</v>
      </c>
      <c r="H9" s="2">
        <f t="shared" si="0"/>
        <v>5268.5337</v>
      </c>
      <c r="I9" s="2">
        <f t="shared" si="0"/>
        <v>4965.4731000000002</v>
      </c>
      <c r="J9" s="2">
        <f t="shared" si="0"/>
        <v>4662.4225999999999</v>
      </c>
      <c r="K9" s="2">
        <f t="shared" si="0"/>
        <v>4332.2435000000005</v>
      </c>
      <c r="L9" s="2">
        <f t="shared" si="0"/>
        <v>4002.0744999999997</v>
      </c>
      <c r="M9" s="2">
        <f t="shared" si="0"/>
        <v>3721.2238000000002</v>
      </c>
      <c r="N9" s="2">
        <f t="shared" si="0"/>
        <v>3510.5882999999999</v>
      </c>
      <c r="O9" s="2">
        <f t="shared" si="0"/>
        <v>3343.7867999999999</v>
      </c>
      <c r="P9" s="2">
        <f t="shared" si="0"/>
        <v>3177.0055000000002</v>
      </c>
      <c r="Q9" s="2">
        <f t="shared" si="0"/>
        <v>3032.5957000000003</v>
      </c>
      <c r="R9" s="2">
        <f t="shared" si="0"/>
        <v>2888.1858999999999</v>
      </c>
      <c r="S9" s="2">
        <f t="shared" si="0"/>
        <v>2768.9453000000003</v>
      </c>
      <c r="T9" s="2">
        <f t="shared" si="0"/>
        <v>2649.7046999999998</v>
      </c>
      <c r="U9" s="2">
        <f t="shared" si="0"/>
        <v>2462.9052000000001</v>
      </c>
      <c r="V9" s="2">
        <f t="shared" si="0"/>
        <v>2368.1772999999998</v>
      </c>
      <c r="W9" s="2">
        <f t="shared" si="0"/>
        <v>2280.4688999999998</v>
      </c>
      <c r="X9" s="2">
        <f t="shared" si="0"/>
        <v>2192.7503999999999</v>
      </c>
      <c r="Y9" s="2">
        <f t="shared" si="0"/>
        <v>2150.5930000000003</v>
      </c>
      <c r="Z9" s="2">
        <f t="shared" si="0"/>
        <v>2108.4255000000003</v>
      </c>
      <c r="AA9" s="2">
        <f t="shared" si="0"/>
        <v>2067.8740000000003</v>
      </c>
      <c r="AB9" s="2">
        <f t="shared" si="0"/>
        <v>2027.3326</v>
      </c>
      <c r="AC9" s="50">
        <v>1</v>
      </c>
      <c r="AD9" s="2"/>
    </row>
    <row r="10" spans="2:30" ht="15.55" x14ac:dyDescent="0.3">
      <c r="B10" s="49">
        <v>2</v>
      </c>
      <c r="C10" s="2">
        <f t="shared" si="0"/>
        <v>7599.7245979999989</v>
      </c>
      <c r="D10" s="2">
        <f t="shared" si="0"/>
        <v>7036.7824130000008</v>
      </c>
      <c r="E10" s="2">
        <f t="shared" si="0"/>
        <v>6551.4902400000001</v>
      </c>
      <c r="F10" s="2">
        <f t="shared" si="0"/>
        <v>6066.1878659999993</v>
      </c>
      <c r="G10" s="2">
        <f t="shared" si="0"/>
        <v>5693.7085520000001</v>
      </c>
      <c r="H10" s="2">
        <f t="shared" si="0"/>
        <v>5321.2190369999998</v>
      </c>
      <c r="I10" s="2">
        <f t="shared" si="0"/>
        <v>5015.1278309999998</v>
      </c>
      <c r="J10" s="2">
        <f t="shared" si="0"/>
        <v>4709.0468259999998</v>
      </c>
      <c r="K10" s="2">
        <f t="shared" si="0"/>
        <v>4375.5659350000005</v>
      </c>
      <c r="L10" s="2">
        <f t="shared" si="0"/>
        <v>4042.0952449999995</v>
      </c>
      <c r="M10" s="2">
        <f t="shared" si="0"/>
        <v>3758.4360380000003</v>
      </c>
      <c r="N10" s="2">
        <f t="shared" si="0"/>
        <v>3545.6941830000001</v>
      </c>
      <c r="O10" s="2">
        <f t="shared" si="0"/>
        <v>3377.2246679999998</v>
      </c>
      <c r="P10" s="2">
        <f t="shared" si="0"/>
        <v>3208.7755550000002</v>
      </c>
      <c r="Q10" s="2">
        <f t="shared" si="0"/>
        <v>3062.9216570000003</v>
      </c>
      <c r="R10" s="2">
        <f t="shared" si="0"/>
        <v>2917.067759</v>
      </c>
      <c r="S10" s="2">
        <f t="shared" si="0"/>
        <v>2796.6347530000003</v>
      </c>
      <c r="T10" s="2">
        <f t="shared" si="0"/>
        <v>2676.2017469999996</v>
      </c>
      <c r="U10" s="2">
        <f t="shared" si="0"/>
        <v>2487.5342520000004</v>
      </c>
      <c r="V10" s="2">
        <f t="shared" si="0"/>
        <v>2391.8590729999996</v>
      </c>
      <c r="W10" s="2">
        <f t="shared" si="0"/>
        <v>2303.2735889999999</v>
      </c>
      <c r="X10" s="2">
        <f t="shared" si="0"/>
        <v>2214.6779040000001</v>
      </c>
      <c r="Y10" s="2">
        <f t="shared" si="0"/>
        <v>2172.0989300000001</v>
      </c>
      <c r="Z10" s="2">
        <f t="shared" si="0"/>
        <v>2129.5097550000005</v>
      </c>
      <c r="AA10" s="2">
        <f t="shared" si="0"/>
        <v>2088.5527400000001</v>
      </c>
      <c r="AB10" s="2">
        <f t="shared" si="0"/>
        <v>2047.605926</v>
      </c>
      <c r="AC10" s="50">
        <v>2</v>
      </c>
      <c r="AD10" s="2"/>
    </row>
    <row r="11" spans="2:30" ht="15.55" x14ac:dyDescent="0.3">
      <c r="B11" s="49">
        <v>3</v>
      </c>
      <c r="C11" s="2">
        <f t="shared" si="0"/>
        <v>7675.721843979999</v>
      </c>
      <c r="D11" s="2">
        <f t="shared" si="0"/>
        <v>7107.1502371300012</v>
      </c>
      <c r="E11" s="2">
        <f t="shared" si="0"/>
        <v>6617.0051424000003</v>
      </c>
      <c r="F11" s="2">
        <f t="shared" si="0"/>
        <v>6126.8497446599995</v>
      </c>
      <c r="G11" s="2">
        <f t="shared" si="0"/>
        <v>5750.6456375200005</v>
      </c>
      <c r="H11" s="2">
        <f t="shared" si="0"/>
        <v>5374.4312273699998</v>
      </c>
      <c r="I11" s="2">
        <f t="shared" si="0"/>
        <v>5065.2791093099995</v>
      </c>
      <c r="J11" s="2">
        <f t="shared" si="0"/>
        <v>4756.1372942600001</v>
      </c>
      <c r="K11" s="2">
        <f t="shared" si="0"/>
        <v>4419.3215943500009</v>
      </c>
      <c r="L11" s="2">
        <f t="shared" si="0"/>
        <v>4082.5161974499997</v>
      </c>
      <c r="M11" s="2">
        <f t="shared" si="0"/>
        <v>3796.0203983800002</v>
      </c>
      <c r="N11" s="2">
        <f t="shared" si="0"/>
        <v>3581.1511248299998</v>
      </c>
      <c r="O11" s="2">
        <f t="shared" si="0"/>
        <v>3410.9969146799999</v>
      </c>
      <c r="P11" s="2">
        <f t="shared" si="0"/>
        <v>3240.8633105500003</v>
      </c>
      <c r="Q11" s="2">
        <f t="shared" si="0"/>
        <v>3093.5508735700005</v>
      </c>
      <c r="R11" s="2">
        <f t="shared" si="0"/>
        <v>2946.2384365900002</v>
      </c>
      <c r="S11" s="2">
        <f t="shared" si="0"/>
        <v>2824.6011005300002</v>
      </c>
      <c r="T11" s="2">
        <f t="shared" si="0"/>
        <v>2702.9637644699997</v>
      </c>
      <c r="U11" s="2">
        <f t="shared" si="0"/>
        <v>2512.4095945200006</v>
      </c>
      <c r="V11" s="2">
        <f t="shared" si="0"/>
        <v>2415.7776637299994</v>
      </c>
      <c r="W11" s="2">
        <f t="shared" si="0"/>
        <v>2326.3063248899998</v>
      </c>
      <c r="X11" s="2">
        <f t="shared" si="0"/>
        <v>2236.8246830400003</v>
      </c>
      <c r="Y11" s="2">
        <f t="shared" si="0"/>
        <v>2193.8199193</v>
      </c>
      <c r="Z11" s="2">
        <f t="shared" si="0"/>
        <v>2150.8048525500003</v>
      </c>
      <c r="AA11" s="2">
        <f t="shared" si="0"/>
        <v>2109.4382673999999</v>
      </c>
      <c r="AB11" s="2">
        <f t="shared" si="0"/>
        <v>2068.0819852599998</v>
      </c>
      <c r="AC11" s="50">
        <v>3</v>
      </c>
      <c r="AD11" s="2"/>
    </row>
    <row r="12" spans="2:30" ht="15.55" x14ac:dyDescent="0.3">
      <c r="B12" s="49">
        <v>4</v>
      </c>
      <c r="C12" s="2">
        <f t="shared" si="0"/>
        <v>7752.4790624197985</v>
      </c>
      <c r="D12" s="2">
        <f t="shared" si="0"/>
        <v>7178.2217395013013</v>
      </c>
      <c r="E12" s="2">
        <f t="shared" si="0"/>
        <v>6683.1751938240004</v>
      </c>
      <c r="F12" s="2">
        <f t="shared" si="0"/>
        <v>6188.1182421065996</v>
      </c>
      <c r="G12" s="2">
        <f t="shared" si="0"/>
        <v>5808.1520938952008</v>
      </c>
      <c r="H12" s="2">
        <f t="shared" si="0"/>
        <v>5428.1755396437002</v>
      </c>
      <c r="I12" s="2">
        <f t="shared" si="0"/>
        <v>5115.9319004030995</v>
      </c>
      <c r="J12" s="2">
        <f t="shared" si="0"/>
        <v>4803.6986672026005</v>
      </c>
      <c r="K12" s="2">
        <f t="shared" si="0"/>
        <v>4463.5148102935009</v>
      </c>
      <c r="L12" s="2">
        <f t="shared" si="0"/>
        <v>4123.3413594244994</v>
      </c>
      <c r="M12" s="2">
        <f t="shared" si="0"/>
        <v>3833.9806023638002</v>
      </c>
      <c r="N12" s="2">
        <f t="shared" si="0"/>
        <v>3616.9626360783</v>
      </c>
      <c r="O12" s="2">
        <f t="shared" si="0"/>
        <v>3445.1068838267997</v>
      </c>
      <c r="P12" s="2">
        <f t="shared" si="0"/>
        <v>3273.2719436555003</v>
      </c>
      <c r="Q12" s="2">
        <f t="shared" si="0"/>
        <v>3124.4863823057003</v>
      </c>
      <c r="R12" s="2">
        <f t="shared" si="0"/>
        <v>2975.7008209559003</v>
      </c>
      <c r="S12" s="2">
        <f t="shared" si="0"/>
        <v>2852.8471115353</v>
      </c>
      <c r="T12" s="2">
        <f t="shared" si="0"/>
        <v>2729.9934021146996</v>
      </c>
      <c r="U12" s="2">
        <f t="shared" si="0"/>
        <v>2537.5336904652008</v>
      </c>
      <c r="V12" s="2">
        <f t="shared" si="0"/>
        <v>2439.9354403672992</v>
      </c>
      <c r="W12" s="2">
        <f t="shared" si="0"/>
        <v>2349.5693881388997</v>
      </c>
      <c r="X12" s="2">
        <f t="shared" si="0"/>
        <v>2259.1929298704003</v>
      </c>
      <c r="Y12" s="2">
        <f t="shared" si="0"/>
        <v>2215.758118493</v>
      </c>
      <c r="Z12" s="2">
        <f t="shared" si="0"/>
        <v>2172.3129010755001</v>
      </c>
      <c r="AA12" s="2">
        <f t="shared" si="0"/>
        <v>2130.5326500739998</v>
      </c>
      <c r="AB12" s="2">
        <f t="shared" si="0"/>
        <v>2088.7628051125998</v>
      </c>
      <c r="AC12" s="50">
        <v>4</v>
      </c>
      <c r="AD12" s="2"/>
    </row>
    <row r="13" spans="2:30" ht="15.55" x14ac:dyDescent="0.3">
      <c r="B13" s="49">
        <v>5</v>
      </c>
      <c r="C13" s="2">
        <f t="shared" si="0"/>
        <v>7830.003853043997</v>
      </c>
      <c r="D13" s="2">
        <f t="shared" si="0"/>
        <v>7250.0039568963139</v>
      </c>
      <c r="E13" s="2">
        <f t="shared" si="0"/>
        <v>6750.0069457622403</v>
      </c>
      <c r="F13" s="2">
        <f t="shared" si="0"/>
        <v>6249.9994245276657</v>
      </c>
      <c r="G13" s="2">
        <f t="shared" si="0"/>
        <v>5866.2336148341528</v>
      </c>
      <c r="H13" s="2">
        <f t="shared" si="0"/>
        <v>5482.4572950401371</v>
      </c>
      <c r="I13" s="2">
        <f t="shared" si="0"/>
        <v>5167.0912194071307</v>
      </c>
      <c r="J13" s="2">
        <f t="shared" si="0"/>
        <v>4851.7356538746262</v>
      </c>
      <c r="K13" s="2">
        <f t="shared" si="0"/>
        <v>4508.149958396436</v>
      </c>
      <c r="L13" s="2">
        <f t="shared" si="0"/>
        <v>4164.5747730187441</v>
      </c>
      <c r="M13" s="2">
        <f t="shared" si="0"/>
        <v>3872.3204083874384</v>
      </c>
      <c r="N13" s="2">
        <f t="shared" si="0"/>
        <v>3653.1322624390828</v>
      </c>
      <c r="O13" s="2">
        <f t="shared" si="0"/>
        <v>3479.5579526650677</v>
      </c>
      <c r="P13" s="2">
        <f t="shared" si="0"/>
        <v>3306.0046630920551</v>
      </c>
      <c r="Q13" s="2">
        <f t="shared" si="0"/>
        <v>3155.7312461287574</v>
      </c>
      <c r="R13" s="2">
        <f t="shared" si="0"/>
        <v>3005.4578291654593</v>
      </c>
      <c r="S13" s="2">
        <f t="shared" si="0"/>
        <v>2881.3755826506531</v>
      </c>
      <c r="T13" s="2">
        <f t="shared" si="0"/>
        <v>2757.2933361358464</v>
      </c>
      <c r="U13" s="2">
        <f t="shared" si="0"/>
        <v>2562.909027369853</v>
      </c>
      <c r="V13" s="2">
        <f t="shared" si="0"/>
        <v>2464.3347947709722</v>
      </c>
      <c r="W13" s="2">
        <f t="shared" si="0"/>
        <v>2373.0650820202886</v>
      </c>
      <c r="X13" s="2">
        <f t="shared" si="0"/>
        <v>2281.7848591691045</v>
      </c>
      <c r="Y13" s="2">
        <f t="shared" si="0"/>
        <v>2237.9156996779302</v>
      </c>
      <c r="Z13" s="2">
        <f t="shared" si="0"/>
        <v>2194.0360300862553</v>
      </c>
      <c r="AA13" s="2">
        <f t="shared" si="0"/>
        <v>2151.83797657474</v>
      </c>
      <c r="AB13" s="2">
        <f t="shared" si="0"/>
        <v>2109.6504331637257</v>
      </c>
      <c r="AC13" s="50">
        <v>5</v>
      </c>
      <c r="AD13" s="2"/>
    </row>
    <row r="14" spans="2:30" ht="15.55" x14ac:dyDescent="0.3">
      <c r="B14" s="49">
        <v>6</v>
      </c>
      <c r="C14" s="2">
        <f t="shared" si="0"/>
        <v>7908.3038915744373</v>
      </c>
      <c r="D14" s="2">
        <f t="shared" si="0"/>
        <v>7322.5039964652769</v>
      </c>
      <c r="E14" s="2">
        <f t="shared" si="0"/>
        <v>6817.5070152198623</v>
      </c>
      <c r="F14" s="2">
        <f t="shared" si="0"/>
        <v>6312.4994187729426</v>
      </c>
      <c r="G14" s="2">
        <f t="shared" si="0"/>
        <v>5924.8959509824945</v>
      </c>
      <c r="H14" s="2">
        <f t="shared" si="0"/>
        <v>5537.2818679905386</v>
      </c>
      <c r="I14" s="2">
        <f t="shared" si="0"/>
        <v>5218.7621316012019</v>
      </c>
      <c r="J14" s="2">
        <f t="shared" si="0"/>
        <v>4900.2530104133721</v>
      </c>
      <c r="K14" s="2">
        <f t="shared" si="0"/>
        <v>4553.2314579804006</v>
      </c>
      <c r="L14" s="2">
        <f t="shared" si="0"/>
        <v>4206.2205207489314</v>
      </c>
      <c r="M14" s="2">
        <f t="shared" si="0"/>
        <v>3911.0436124713128</v>
      </c>
      <c r="N14" s="2">
        <f t="shared" si="0"/>
        <v>3689.6635850634734</v>
      </c>
      <c r="O14" s="2">
        <f t="shared" si="0"/>
        <v>3514.3535321917184</v>
      </c>
      <c r="P14" s="2">
        <f t="shared" si="0"/>
        <v>3339.0647097229757</v>
      </c>
      <c r="Q14" s="2">
        <f t="shared" si="0"/>
        <v>3187.2885585900449</v>
      </c>
      <c r="R14" s="2">
        <f t="shared" si="0"/>
        <v>3035.512407457114</v>
      </c>
      <c r="S14" s="2">
        <f t="shared" si="0"/>
        <v>2910.1893384771597</v>
      </c>
      <c r="T14" s="2">
        <f t="shared" si="0"/>
        <v>2784.8662694972049</v>
      </c>
      <c r="U14" s="2">
        <f t="shared" si="0"/>
        <v>2588.5381176435517</v>
      </c>
      <c r="V14" s="2">
        <f t="shared" si="0"/>
        <v>2488.9781427186817</v>
      </c>
      <c r="W14" s="2">
        <f t="shared" si="0"/>
        <v>2396.7957328404914</v>
      </c>
      <c r="X14" s="2">
        <f t="shared" si="0"/>
        <v>2304.6027077607955</v>
      </c>
      <c r="Y14" s="2">
        <f t="shared" si="0"/>
        <v>2260.2948566747095</v>
      </c>
      <c r="Z14" s="2">
        <f t="shared" si="0"/>
        <v>2215.976390387118</v>
      </c>
      <c r="AA14" s="2">
        <f t="shared" si="0"/>
        <v>2173.3563563404873</v>
      </c>
      <c r="AB14" s="2">
        <f t="shared" si="0"/>
        <v>2130.746937495363</v>
      </c>
      <c r="AC14" s="50">
        <v>6</v>
      </c>
      <c r="AD14" s="2"/>
    </row>
    <row r="15" spans="2:30" ht="15.55" x14ac:dyDescent="0.3">
      <c r="B15" s="49">
        <v>7</v>
      </c>
      <c r="C15" s="2">
        <f t="shared" si="0"/>
        <v>7987.3869304901818</v>
      </c>
      <c r="D15" s="2">
        <f t="shared" si="0"/>
        <v>7395.7290364299297</v>
      </c>
      <c r="E15" s="2">
        <f t="shared" si="0"/>
        <v>6885.682085372061</v>
      </c>
      <c r="F15" s="2">
        <f t="shared" si="0"/>
        <v>6375.6244129606721</v>
      </c>
      <c r="G15" s="2">
        <f t="shared" si="0"/>
        <v>5984.1449104923195</v>
      </c>
      <c r="H15" s="2">
        <f t="shared" si="0"/>
        <v>5592.6546866704439</v>
      </c>
      <c r="I15" s="2">
        <f t="shared" si="0"/>
        <v>5270.949752917214</v>
      </c>
      <c r="J15" s="2">
        <f t="shared" si="0"/>
        <v>4949.2555405175062</v>
      </c>
      <c r="K15" s="2">
        <f t="shared" si="0"/>
        <v>4598.7637725602044</v>
      </c>
      <c r="L15" s="2">
        <f t="shared" si="0"/>
        <v>4248.282725956421</v>
      </c>
      <c r="M15" s="2">
        <f t="shared" si="0"/>
        <v>3950.1540485960259</v>
      </c>
      <c r="N15" s="2">
        <f t="shared" si="0"/>
        <v>3726.560220914108</v>
      </c>
      <c r="O15" s="2">
        <f t="shared" si="0"/>
        <v>3549.4970675136356</v>
      </c>
      <c r="P15" s="2">
        <f t="shared" si="0"/>
        <v>3372.4553568202055</v>
      </c>
      <c r="Q15" s="2">
        <f t="shared" si="0"/>
        <v>3219.1614441759452</v>
      </c>
      <c r="R15" s="2">
        <f t="shared" si="0"/>
        <v>3065.867531531685</v>
      </c>
      <c r="S15" s="2">
        <f t="shared" si="0"/>
        <v>2939.2912318619315</v>
      </c>
      <c r="T15" s="2">
        <f t="shared" si="0"/>
        <v>2812.714932192177</v>
      </c>
      <c r="U15" s="2">
        <f t="shared" si="0"/>
        <v>2614.4234988199873</v>
      </c>
      <c r="V15" s="2">
        <f t="shared" si="0"/>
        <v>2513.8679241458685</v>
      </c>
      <c r="W15" s="2">
        <f t="shared" si="0"/>
        <v>2420.7636901688961</v>
      </c>
      <c r="X15" s="2">
        <f t="shared" si="0"/>
        <v>2327.6487348384035</v>
      </c>
      <c r="Y15" s="2">
        <f t="shared" si="0"/>
        <v>2282.8978052414568</v>
      </c>
      <c r="Z15" s="2">
        <f t="shared" si="0"/>
        <v>2238.136154290989</v>
      </c>
      <c r="AA15" s="2">
        <f t="shared" si="0"/>
        <v>2195.0899199038922</v>
      </c>
      <c r="AB15" s="2">
        <f t="shared" si="0"/>
        <v>2152.0544068703166</v>
      </c>
      <c r="AC15" s="50">
        <v>7</v>
      </c>
      <c r="AD15" s="2"/>
    </row>
    <row r="16" spans="2:30" ht="15.55" x14ac:dyDescent="0.3">
      <c r="B16" s="49">
        <v>8</v>
      </c>
      <c r="C16" s="2">
        <f t="shared" si="0"/>
        <v>8067.2607997950836</v>
      </c>
      <c r="D16" s="2">
        <f t="shared" si="0"/>
        <v>7469.686326794229</v>
      </c>
      <c r="E16" s="2">
        <f t="shared" si="0"/>
        <v>6954.5389062257818</v>
      </c>
      <c r="F16" s="2">
        <f t="shared" si="0"/>
        <v>6439.3806570902789</v>
      </c>
      <c r="G16" s="2">
        <f t="shared" si="0"/>
        <v>6043.9863595972429</v>
      </c>
      <c r="H16" s="2">
        <f t="shared" si="0"/>
        <v>5648.5812335371484</v>
      </c>
      <c r="I16" s="2">
        <f t="shared" si="0"/>
        <v>5323.6592504463861</v>
      </c>
      <c r="J16" s="2">
        <f t="shared" si="0"/>
        <v>4998.7480959226814</v>
      </c>
      <c r="K16" s="2">
        <f t="shared" si="0"/>
        <v>4644.7514102858067</v>
      </c>
      <c r="L16" s="2">
        <f t="shared" si="0"/>
        <v>4290.7655532159852</v>
      </c>
      <c r="M16" s="2">
        <f t="shared" si="0"/>
        <v>3989.6555890819859</v>
      </c>
      <c r="N16" s="2">
        <f t="shared" si="0"/>
        <v>3763.8258231232489</v>
      </c>
      <c r="O16" s="2">
        <f t="shared" si="0"/>
        <v>3584.9920381887719</v>
      </c>
      <c r="P16" s="2">
        <f t="shared" si="0"/>
        <v>3406.1799103884077</v>
      </c>
      <c r="Q16" s="2">
        <f t="shared" si="0"/>
        <v>3251.3530586177048</v>
      </c>
      <c r="R16" s="2">
        <f t="shared" si="0"/>
        <v>3096.526206847002</v>
      </c>
      <c r="S16" s="2">
        <f t="shared" si="0"/>
        <v>2968.6841441805509</v>
      </c>
      <c r="T16" s="2">
        <f t="shared" si="0"/>
        <v>2840.8420815140989</v>
      </c>
      <c r="U16" s="2">
        <f t="shared" si="0"/>
        <v>2640.5677338081873</v>
      </c>
      <c r="V16" s="2">
        <f t="shared" si="0"/>
        <v>2539.0066033873272</v>
      </c>
      <c r="W16" s="2">
        <f t="shared" si="0"/>
        <v>2444.9713270705852</v>
      </c>
      <c r="X16" s="2">
        <f t="shared" si="0"/>
        <v>2350.9252221867873</v>
      </c>
      <c r="Y16" s="2">
        <f t="shared" si="0"/>
        <v>2305.7267832938714</v>
      </c>
      <c r="Z16" s="2">
        <f t="shared" si="0"/>
        <v>2260.5175158338989</v>
      </c>
      <c r="AA16" s="2">
        <f t="shared" si="0"/>
        <v>2217.040819102931</v>
      </c>
      <c r="AB16" s="2">
        <f t="shared" si="0"/>
        <v>2173.5749509390198</v>
      </c>
      <c r="AC16" s="50">
        <v>8</v>
      </c>
      <c r="AD16" s="2"/>
    </row>
    <row r="17" spans="2:30" ht="15.55" x14ac:dyDescent="0.3">
      <c r="B17" s="49">
        <v>9</v>
      </c>
      <c r="C17" s="2">
        <f t="shared" si="0"/>
        <v>8147.9334077930343</v>
      </c>
      <c r="D17" s="2">
        <f t="shared" si="0"/>
        <v>7544.3831900621717</v>
      </c>
      <c r="E17" s="2">
        <f t="shared" si="0"/>
        <v>7024.0842952880394</v>
      </c>
      <c r="F17" s="2">
        <f t="shared" si="0"/>
        <v>6503.7744636611815</v>
      </c>
      <c r="G17" s="2">
        <f t="shared" si="0"/>
        <v>6104.4262231932153</v>
      </c>
      <c r="H17" s="2">
        <f t="shared" si="0"/>
        <v>5705.0670458725199</v>
      </c>
      <c r="I17" s="2">
        <f t="shared" si="0"/>
        <v>5376.8958429508502</v>
      </c>
      <c r="J17" s="2">
        <f t="shared" si="0"/>
        <v>5048.7355768819079</v>
      </c>
      <c r="K17" s="2">
        <f t="shared" si="0"/>
        <v>4691.1989243886646</v>
      </c>
      <c r="L17" s="2">
        <f t="shared" si="0"/>
        <v>4333.673208748145</v>
      </c>
      <c r="M17" s="2">
        <f t="shared" si="0"/>
        <v>4029.5521449728058</v>
      </c>
      <c r="N17" s="2">
        <f t="shared" si="0"/>
        <v>3801.4640813544816</v>
      </c>
      <c r="O17" s="2">
        <f t="shared" si="0"/>
        <v>3620.8419585706597</v>
      </c>
      <c r="P17" s="2">
        <f t="shared" si="0"/>
        <v>3440.2417094922916</v>
      </c>
      <c r="Q17" s="2">
        <f t="shared" si="0"/>
        <v>3283.8665892038821</v>
      </c>
      <c r="R17" s="2">
        <f t="shared" si="0"/>
        <v>3127.4914689154721</v>
      </c>
      <c r="S17" s="2">
        <f t="shared" si="0"/>
        <v>2998.3709856223563</v>
      </c>
      <c r="T17" s="2">
        <f t="shared" si="0"/>
        <v>2869.2505023292401</v>
      </c>
      <c r="U17" s="2">
        <f t="shared" si="0"/>
        <v>2666.973411146269</v>
      </c>
      <c r="V17" s="2">
        <f t="shared" si="0"/>
        <v>2564.3966694212004</v>
      </c>
      <c r="W17" s="2">
        <f t="shared" si="0"/>
        <v>2469.4210403412912</v>
      </c>
      <c r="X17" s="2">
        <f t="shared" si="0"/>
        <v>2374.4344744086552</v>
      </c>
      <c r="Y17" s="2">
        <f t="shared" si="0"/>
        <v>2328.78405112681</v>
      </c>
      <c r="Z17" s="2">
        <f t="shared" si="0"/>
        <v>2283.1226909922379</v>
      </c>
      <c r="AA17" s="2">
        <f t="shared" si="0"/>
        <v>2239.2112272939603</v>
      </c>
      <c r="AB17" s="2">
        <f t="shared" si="0"/>
        <v>2195.31070044841</v>
      </c>
      <c r="AC17" s="50">
        <v>9</v>
      </c>
      <c r="AD17" s="2"/>
    </row>
    <row r="18" spans="2:30" ht="15.55" x14ac:dyDescent="0.3">
      <c r="B18" s="49">
        <v>10</v>
      </c>
      <c r="C18" s="2">
        <f t="shared" si="0"/>
        <v>8229.412741870965</v>
      </c>
      <c r="D18" s="2">
        <f t="shared" si="0"/>
        <v>7619.8270219627939</v>
      </c>
      <c r="E18" s="2">
        <f t="shared" si="0"/>
        <v>7094.3251382409198</v>
      </c>
      <c r="F18" s="2">
        <f t="shared" si="0"/>
        <v>6568.8122082977934</v>
      </c>
      <c r="G18" s="2">
        <f t="shared" si="0"/>
        <v>6165.4704854251477</v>
      </c>
      <c r="H18" s="2">
        <f t="shared" si="0"/>
        <v>5762.117716331245</v>
      </c>
      <c r="I18" s="2">
        <f t="shared" si="0"/>
        <v>5430.6648013803588</v>
      </c>
      <c r="J18" s="2">
        <f t="shared" si="0"/>
        <v>5099.2229326507268</v>
      </c>
      <c r="K18" s="2">
        <f t="shared" si="0"/>
        <v>4738.1109136325513</v>
      </c>
      <c r="L18" s="2">
        <f t="shared" si="0"/>
        <v>4377.0099408356264</v>
      </c>
      <c r="M18" s="2">
        <f t="shared" si="0"/>
        <v>4069.8476664225336</v>
      </c>
      <c r="N18" s="2">
        <f t="shared" si="0"/>
        <v>3839.4787221680263</v>
      </c>
      <c r="O18" s="2">
        <f t="shared" si="0"/>
        <v>3657.0503781563662</v>
      </c>
      <c r="P18" s="2">
        <f t="shared" si="0"/>
        <v>3474.6441265872145</v>
      </c>
      <c r="Q18" s="2">
        <f t="shared" si="0"/>
        <v>3316.7052550959211</v>
      </c>
      <c r="R18" s="2">
        <f t="shared" si="0"/>
        <v>3158.7663836046268</v>
      </c>
      <c r="S18" s="2">
        <f t="shared" si="0"/>
        <v>3028.3546954785797</v>
      </c>
      <c r="T18" s="2">
        <f t="shared" si="0"/>
        <v>2897.9430073525327</v>
      </c>
      <c r="U18" s="2">
        <f t="shared" si="0"/>
        <v>2693.6431452577317</v>
      </c>
      <c r="V18" s="2">
        <f t="shared" si="0"/>
        <v>2590.0406361154123</v>
      </c>
      <c r="W18" s="2">
        <f t="shared" si="0"/>
        <v>2494.1152507447041</v>
      </c>
      <c r="X18" s="2">
        <f t="shared" ref="X18:AB38" si="1">X17+X17*1%</f>
        <v>2398.1788191527417</v>
      </c>
      <c r="Y18" s="2">
        <f t="shared" si="1"/>
        <v>2352.0718916380783</v>
      </c>
      <c r="Z18" s="2">
        <f t="shared" si="1"/>
        <v>2305.9539179021604</v>
      </c>
      <c r="AA18" s="2">
        <f t="shared" si="1"/>
        <v>2261.6033395669001</v>
      </c>
      <c r="AB18" s="2">
        <f t="shared" si="1"/>
        <v>2217.2638074528941</v>
      </c>
      <c r="AC18" s="50">
        <v>10</v>
      </c>
      <c r="AD18" s="2"/>
    </row>
    <row r="19" spans="2:30" ht="15.55" x14ac:dyDescent="0.3">
      <c r="B19" s="49">
        <v>11</v>
      </c>
      <c r="C19" s="2">
        <f t="shared" ref="C19:R34" si="2">C18+C18*1%</f>
        <v>8311.7068692896755</v>
      </c>
      <c r="D19" s="2">
        <f t="shared" si="2"/>
        <v>7696.0252921824222</v>
      </c>
      <c r="E19" s="2">
        <f t="shared" si="2"/>
        <v>7165.2683896233293</v>
      </c>
      <c r="F19" s="2">
        <f t="shared" si="2"/>
        <v>6634.5003303807716</v>
      </c>
      <c r="G19" s="2">
        <f t="shared" si="2"/>
        <v>6227.1251902793992</v>
      </c>
      <c r="H19" s="2">
        <f t="shared" si="2"/>
        <v>5819.7388934945575</v>
      </c>
      <c r="I19" s="2">
        <f t="shared" si="2"/>
        <v>5484.9714493941619</v>
      </c>
      <c r="J19" s="2">
        <f t="shared" si="2"/>
        <v>5150.2151619772339</v>
      </c>
      <c r="K19" s="2">
        <f t="shared" si="2"/>
        <v>4785.4920227688772</v>
      </c>
      <c r="L19" s="2">
        <f t="shared" si="2"/>
        <v>4420.7800402439825</v>
      </c>
      <c r="M19" s="2">
        <f t="shared" si="2"/>
        <v>4110.546143086759</v>
      </c>
      <c r="N19" s="2">
        <f t="shared" si="2"/>
        <v>3877.8735093897067</v>
      </c>
      <c r="O19" s="2">
        <f t="shared" si="2"/>
        <v>3693.6208819379299</v>
      </c>
      <c r="P19" s="2">
        <f t="shared" si="2"/>
        <v>3509.3905678530868</v>
      </c>
      <c r="Q19" s="2">
        <f t="shared" si="2"/>
        <v>3349.8723076468805</v>
      </c>
      <c r="R19" s="2">
        <f t="shared" si="2"/>
        <v>3190.3540474406732</v>
      </c>
      <c r="S19" s="2">
        <f t="shared" ref="S19:W38" si="3">S18+S18*1%</f>
        <v>3058.6382424333656</v>
      </c>
      <c r="T19" s="2">
        <f t="shared" si="3"/>
        <v>2926.922437426058</v>
      </c>
      <c r="U19" s="2">
        <f t="shared" si="3"/>
        <v>2720.5795767103091</v>
      </c>
      <c r="V19" s="2">
        <f t="shared" si="3"/>
        <v>2615.9410424765665</v>
      </c>
      <c r="W19" s="2">
        <f t="shared" si="3"/>
        <v>2519.0564032521511</v>
      </c>
      <c r="X19" s="2">
        <f t="shared" si="1"/>
        <v>2422.160607344269</v>
      </c>
      <c r="Y19" s="2">
        <f t="shared" si="1"/>
        <v>2375.592610554459</v>
      </c>
      <c r="Z19" s="2">
        <f t="shared" si="1"/>
        <v>2329.013457081182</v>
      </c>
      <c r="AA19" s="2">
        <f t="shared" si="1"/>
        <v>2284.2193729625692</v>
      </c>
      <c r="AB19" s="2">
        <f t="shared" si="1"/>
        <v>2239.4364455274231</v>
      </c>
      <c r="AC19" s="50">
        <v>11</v>
      </c>
      <c r="AD19" s="2"/>
    </row>
    <row r="20" spans="2:30" ht="15.55" x14ac:dyDescent="0.3">
      <c r="B20" s="49">
        <v>12</v>
      </c>
      <c r="C20" s="2">
        <f t="shared" si="2"/>
        <v>8394.8239379825718</v>
      </c>
      <c r="D20" s="2">
        <f t="shared" si="2"/>
        <v>7772.9855451042467</v>
      </c>
      <c r="E20" s="2">
        <f t="shared" si="2"/>
        <v>7236.9210735195629</v>
      </c>
      <c r="F20" s="2">
        <f t="shared" si="2"/>
        <v>6700.8453336845796</v>
      </c>
      <c r="G20" s="2">
        <f t="shared" si="2"/>
        <v>6289.3964421821929</v>
      </c>
      <c r="H20" s="2">
        <f t="shared" si="2"/>
        <v>5877.9362824295031</v>
      </c>
      <c r="I20" s="2">
        <f t="shared" si="2"/>
        <v>5539.8211638881039</v>
      </c>
      <c r="J20" s="2">
        <f t="shared" si="2"/>
        <v>5201.7173135970061</v>
      </c>
      <c r="K20" s="2">
        <f t="shared" si="2"/>
        <v>4833.3469429965662</v>
      </c>
      <c r="L20" s="2">
        <f t="shared" si="2"/>
        <v>4464.9878406464222</v>
      </c>
      <c r="M20" s="2">
        <f t="shared" si="2"/>
        <v>4151.6516045176268</v>
      </c>
      <c r="N20" s="2">
        <f t="shared" si="2"/>
        <v>3916.6522444836037</v>
      </c>
      <c r="O20" s="2">
        <f t="shared" si="2"/>
        <v>3730.5570907573092</v>
      </c>
      <c r="P20" s="2">
        <f t="shared" si="2"/>
        <v>3544.4844735316178</v>
      </c>
      <c r="Q20" s="2">
        <f t="shared" si="2"/>
        <v>3383.3710307233491</v>
      </c>
      <c r="R20" s="2">
        <f t="shared" si="2"/>
        <v>3222.25758791508</v>
      </c>
      <c r="S20" s="2">
        <f t="shared" si="3"/>
        <v>3089.2246248576994</v>
      </c>
      <c r="T20" s="2">
        <f t="shared" si="3"/>
        <v>2956.1916618003183</v>
      </c>
      <c r="U20" s="2">
        <f t="shared" si="3"/>
        <v>2747.7853724774122</v>
      </c>
      <c r="V20" s="2">
        <f t="shared" si="3"/>
        <v>2642.1004529013321</v>
      </c>
      <c r="W20" s="2">
        <f t="shared" si="3"/>
        <v>2544.2469672846728</v>
      </c>
      <c r="X20" s="2">
        <f t="shared" si="1"/>
        <v>2446.3822134177117</v>
      </c>
      <c r="Y20" s="2">
        <f t="shared" si="1"/>
        <v>2399.3485366600034</v>
      </c>
      <c r="Z20" s="2">
        <f t="shared" si="1"/>
        <v>2352.3035916519939</v>
      </c>
      <c r="AA20" s="2">
        <f t="shared" si="1"/>
        <v>2307.0615666921949</v>
      </c>
      <c r="AB20" s="2">
        <f t="shared" si="1"/>
        <v>2261.8308099826972</v>
      </c>
      <c r="AC20" s="50">
        <v>12</v>
      </c>
      <c r="AD20" s="2"/>
    </row>
    <row r="21" spans="2:30" ht="15.55" x14ac:dyDescent="0.3">
      <c r="B21" s="49">
        <v>13</v>
      </c>
      <c r="C21" s="2">
        <f t="shared" si="2"/>
        <v>8478.772177362398</v>
      </c>
      <c r="D21" s="2">
        <f t="shared" si="2"/>
        <v>7850.7154005552893</v>
      </c>
      <c r="E21" s="2">
        <f t="shared" si="2"/>
        <v>7309.2902842547583</v>
      </c>
      <c r="F21" s="2">
        <f t="shared" si="2"/>
        <v>6767.853787021425</v>
      </c>
      <c r="G21" s="2">
        <f t="shared" si="2"/>
        <v>6352.2904066040146</v>
      </c>
      <c r="H21" s="2">
        <f t="shared" si="2"/>
        <v>5936.7156452537984</v>
      </c>
      <c r="I21" s="2">
        <f t="shared" si="2"/>
        <v>5595.2193755269845</v>
      </c>
      <c r="J21" s="2">
        <f t="shared" si="2"/>
        <v>5253.7344867329757</v>
      </c>
      <c r="K21" s="2">
        <f t="shared" si="2"/>
        <v>4881.6804124265318</v>
      </c>
      <c r="L21" s="2">
        <f t="shared" si="2"/>
        <v>4509.6377190528865</v>
      </c>
      <c r="M21" s="2">
        <f t="shared" si="2"/>
        <v>4193.1681205628029</v>
      </c>
      <c r="N21" s="2">
        <f t="shared" si="2"/>
        <v>3955.8187669284398</v>
      </c>
      <c r="O21" s="2">
        <f t="shared" si="2"/>
        <v>3767.8626616648821</v>
      </c>
      <c r="P21" s="2">
        <f t="shared" si="2"/>
        <v>3579.9293182669339</v>
      </c>
      <c r="Q21" s="2">
        <f t="shared" si="2"/>
        <v>3417.2047410305827</v>
      </c>
      <c r="R21" s="2">
        <f t="shared" si="2"/>
        <v>3254.480163794231</v>
      </c>
      <c r="S21" s="2">
        <f t="shared" si="3"/>
        <v>3120.1168711062764</v>
      </c>
      <c r="T21" s="2">
        <f t="shared" si="3"/>
        <v>2985.7535784183215</v>
      </c>
      <c r="U21" s="2">
        <f t="shared" si="3"/>
        <v>2775.2632262021862</v>
      </c>
      <c r="V21" s="2">
        <f t="shared" si="3"/>
        <v>2668.5214574303454</v>
      </c>
      <c r="W21" s="2">
        <f t="shared" si="3"/>
        <v>2569.6894369575193</v>
      </c>
      <c r="X21" s="2">
        <f t="shared" si="1"/>
        <v>2470.8460355518887</v>
      </c>
      <c r="Y21" s="2">
        <f t="shared" si="1"/>
        <v>2423.3420220266034</v>
      </c>
      <c r="Z21" s="2">
        <f t="shared" si="1"/>
        <v>2375.8266275685137</v>
      </c>
      <c r="AA21" s="2">
        <f t="shared" si="1"/>
        <v>2330.132182359117</v>
      </c>
      <c r="AB21" s="2">
        <f t="shared" si="1"/>
        <v>2284.4491180825244</v>
      </c>
      <c r="AC21" s="50">
        <v>13</v>
      </c>
      <c r="AD21" s="2"/>
    </row>
    <row r="22" spans="2:30" ht="15.55" x14ac:dyDescent="0.3">
      <c r="B22" s="49">
        <v>14</v>
      </c>
      <c r="C22" s="2">
        <f t="shared" si="2"/>
        <v>8563.5598991360221</v>
      </c>
      <c r="D22" s="2">
        <f t="shared" si="2"/>
        <v>7929.2225545608426</v>
      </c>
      <c r="E22" s="2">
        <f t="shared" si="2"/>
        <v>7382.3831870973063</v>
      </c>
      <c r="F22" s="2">
        <f t="shared" si="2"/>
        <v>6835.5323248916393</v>
      </c>
      <c r="G22" s="2">
        <f t="shared" si="2"/>
        <v>6415.8133106700543</v>
      </c>
      <c r="H22" s="2">
        <f t="shared" si="2"/>
        <v>5996.0828017063359</v>
      </c>
      <c r="I22" s="2">
        <f t="shared" si="2"/>
        <v>5651.1715692822545</v>
      </c>
      <c r="J22" s="2">
        <f t="shared" si="2"/>
        <v>5306.2718316003056</v>
      </c>
      <c r="K22" s="2">
        <f t="shared" si="2"/>
        <v>4930.497216550797</v>
      </c>
      <c r="L22" s="2">
        <f t="shared" si="2"/>
        <v>4554.7340962434155</v>
      </c>
      <c r="M22" s="2">
        <f t="shared" si="2"/>
        <v>4235.0998017684306</v>
      </c>
      <c r="N22" s="2">
        <f t="shared" si="2"/>
        <v>3995.3769545977243</v>
      </c>
      <c r="O22" s="2">
        <f t="shared" si="2"/>
        <v>3805.5412882815308</v>
      </c>
      <c r="P22" s="2">
        <f t="shared" si="2"/>
        <v>3615.7286114496032</v>
      </c>
      <c r="Q22" s="2">
        <f t="shared" si="2"/>
        <v>3451.3767884408885</v>
      </c>
      <c r="R22" s="2">
        <f t="shared" si="2"/>
        <v>3287.0249654321733</v>
      </c>
      <c r="S22" s="2">
        <f t="shared" si="3"/>
        <v>3151.318039817339</v>
      </c>
      <c r="T22" s="2">
        <f t="shared" si="3"/>
        <v>3015.6111142025047</v>
      </c>
      <c r="U22" s="2">
        <f t="shared" si="3"/>
        <v>2803.0158584642081</v>
      </c>
      <c r="V22" s="2">
        <f t="shared" si="3"/>
        <v>2695.2066720046487</v>
      </c>
      <c r="W22" s="2">
        <f t="shared" si="3"/>
        <v>2595.3863313270945</v>
      </c>
      <c r="X22" s="2">
        <f t="shared" si="1"/>
        <v>2495.5544959074077</v>
      </c>
      <c r="Y22" s="2">
        <f t="shared" si="1"/>
        <v>2447.5754422468694</v>
      </c>
      <c r="Z22" s="2">
        <f t="shared" si="1"/>
        <v>2399.5848938441986</v>
      </c>
      <c r="AA22" s="2">
        <f t="shared" si="1"/>
        <v>2353.433504182708</v>
      </c>
      <c r="AB22" s="2">
        <f t="shared" si="1"/>
        <v>2307.2936092633495</v>
      </c>
      <c r="AC22" s="50">
        <v>14</v>
      </c>
      <c r="AD22" s="2"/>
    </row>
    <row r="23" spans="2:30" ht="15.55" x14ac:dyDescent="0.3">
      <c r="B23" s="49">
        <v>15</v>
      </c>
      <c r="C23" s="2">
        <f t="shared" si="2"/>
        <v>8649.195498127383</v>
      </c>
      <c r="D23" s="2">
        <f t="shared" si="2"/>
        <v>8008.5147801064513</v>
      </c>
      <c r="E23" s="2">
        <f t="shared" si="2"/>
        <v>7456.207018968279</v>
      </c>
      <c r="F23" s="2">
        <f t="shared" si="2"/>
        <v>6903.8876481405559</v>
      </c>
      <c r="G23" s="2">
        <f t="shared" si="2"/>
        <v>6479.9714437767552</v>
      </c>
      <c r="H23" s="2">
        <f t="shared" si="2"/>
        <v>6056.0436297233991</v>
      </c>
      <c r="I23" s="2">
        <f t="shared" si="2"/>
        <v>5707.6832849750772</v>
      </c>
      <c r="J23" s="2">
        <f t="shared" si="2"/>
        <v>5359.3345499163088</v>
      </c>
      <c r="K23" s="2">
        <f t="shared" si="2"/>
        <v>4979.802188716305</v>
      </c>
      <c r="L23" s="2">
        <f t="shared" si="2"/>
        <v>4600.2814372058492</v>
      </c>
      <c r="M23" s="2">
        <f t="shared" si="2"/>
        <v>4277.4507997861147</v>
      </c>
      <c r="N23" s="2">
        <f t="shared" si="2"/>
        <v>4035.3307241437014</v>
      </c>
      <c r="O23" s="2">
        <f t="shared" si="2"/>
        <v>3843.5967011643461</v>
      </c>
      <c r="P23" s="2">
        <f t="shared" si="2"/>
        <v>3651.8858975640992</v>
      </c>
      <c r="Q23" s="2">
        <f t="shared" si="2"/>
        <v>3485.8905563252974</v>
      </c>
      <c r="R23" s="2">
        <f t="shared" si="2"/>
        <v>3319.8952150864952</v>
      </c>
      <c r="S23" s="2">
        <f t="shared" si="3"/>
        <v>3182.8312202155125</v>
      </c>
      <c r="T23" s="2">
        <f t="shared" si="3"/>
        <v>3045.7672253445298</v>
      </c>
      <c r="U23" s="2">
        <f t="shared" si="3"/>
        <v>2831.04601704885</v>
      </c>
      <c r="V23" s="2">
        <f t="shared" si="3"/>
        <v>2722.158738724695</v>
      </c>
      <c r="W23" s="2">
        <f t="shared" si="3"/>
        <v>2621.3401946403656</v>
      </c>
      <c r="X23" s="2">
        <f t="shared" si="1"/>
        <v>2520.5100408664816</v>
      </c>
      <c r="Y23" s="2">
        <f t="shared" si="1"/>
        <v>2472.051196669338</v>
      </c>
      <c r="Z23" s="2">
        <f t="shared" si="1"/>
        <v>2423.5807427826408</v>
      </c>
      <c r="AA23" s="2">
        <f t="shared" si="1"/>
        <v>2376.9678392245351</v>
      </c>
      <c r="AB23" s="2">
        <f t="shared" si="1"/>
        <v>2330.3665453559829</v>
      </c>
      <c r="AC23" s="50">
        <v>15</v>
      </c>
      <c r="AD23" s="2"/>
    </row>
    <row r="24" spans="2:30" ht="15.55" x14ac:dyDescent="0.3">
      <c r="B24" s="49">
        <v>16</v>
      </c>
      <c r="C24" s="2">
        <f t="shared" si="2"/>
        <v>8735.687453108656</v>
      </c>
      <c r="D24" s="2">
        <f t="shared" si="2"/>
        <v>8088.5999279075158</v>
      </c>
      <c r="E24" s="2">
        <f t="shared" si="2"/>
        <v>7530.7690891579614</v>
      </c>
      <c r="F24" s="2">
        <f t="shared" si="2"/>
        <v>6972.9265246219611</v>
      </c>
      <c r="G24" s="2">
        <f t="shared" si="2"/>
        <v>6544.771158214523</v>
      </c>
      <c r="H24" s="2">
        <f t="shared" si="2"/>
        <v>6116.6040660206327</v>
      </c>
      <c r="I24" s="2">
        <f t="shared" si="2"/>
        <v>5764.7601178248278</v>
      </c>
      <c r="J24" s="2">
        <f t="shared" si="2"/>
        <v>5412.9278954154715</v>
      </c>
      <c r="K24" s="2">
        <f t="shared" si="2"/>
        <v>5029.6002106034684</v>
      </c>
      <c r="L24" s="2">
        <f t="shared" si="2"/>
        <v>4646.2842515779075</v>
      </c>
      <c r="M24" s="2">
        <f t="shared" si="2"/>
        <v>4320.2253077839759</v>
      </c>
      <c r="N24" s="2">
        <f t="shared" si="2"/>
        <v>4075.6840313851385</v>
      </c>
      <c r="O24" s="2">
        <f t="shared" si="2"/>
        <v>3882.0326681759893</v>
      </c>
      <c r="P24" s="2">
        <f t="shared" si="2"/>
        <v>3688.40475653974</v>
      </c>
      <c r="Q24" s="2">
        <f t="shared" si="2"/>
        <v>3520.7494618885503</v>
      </c>
      <c r="R24" s="2">
        <f t="shared" si="2"/>
        <v>3353.0941672373601</v>
      </c>
      <c r="S24" s="2">
        <f t="shared" si="3"/>
        <v>3214.6595324176678</v>
      </c>
      <c r="T24" s="2">
        <f t="shared" si="3"/>
        <v>3076.2248975979751</v>
      </c>
      <c r="U24" s="2">
        <f t="shared" si="3"/>
        <v>2859.3564772193386</v>
      </c>
      <c r="V24" s="2">
        <f t="shared" si="3"/>
        <v>2749.3803261119419</v>
      </c>
      <c r="W24" s="2">
        <f t="shared" si="3"/>
        <v>2647.5535965867693</v>
      </c>
      <c r="X24" s="2">
        <f t="shared" si="1"/>
        <v>2545.7151412751464</v>
      </c>
      <c r="Y24" s="2">
        <f t="shared" si="1"/>
        <v>2496.7717086360312</v>
      </c>
      <c r="Z24" s="2">
        <f t="shared" si="1"/>
        <v>2447.8165502104671</v>
      </c>
      <c r="AA24" s="2">
        <f t="shared" si="1"/>
        <v>2400.7375176167802</v>
      </c>
      <c r="AB24" s="2">
        <f t="shared" si="1"/>
        <v>2353.6702108095428</v>
      </c>
      <c r="AC24" s="50">
        <v>16</v>
      </c>
      <c r="AD24" s="2"/>
    </row>
    <row r="25" spans="2:30" ht="15.55" x14ac:dyDescent="0.3">
      <c r="B25" s="49">
        <v>17</v>
      </c>
      <c r="C25" s="2">
        <f t="shared" si="2"/>
        <v>8823.0443276397418</v>
      </c>
      <c r="D25" s="2">
        <f t="shared" si="2"/>
        <v>8169.4859271865907</v>
      </c>
      <c r="E25" s="2">
        <f t="shared" si="2"/>
        <v>7606.0767800495414</v>
      </c>
      <c r="F25" s="2">
        <f t="shared" si="2"/>
        <v>7042.6557898681804</v>
      </c>
      <c r="G25" s="2">
        <f t="shared" si="2"/>
        <v>6610.2188697966685</v>
      </c>
      <c r="H25" s="2">
        <f t="shared" si="2"/>
        <v>6177.7701066808386</v>
      </c>
      <c r="I25" s="2">
        <f t="shared" si="2"/>
        <v>5822.4077190030757</v>
      </c>
      <c r="J25" s="2">
        <f t="shared" si="2"/>
        <v>5467.0571743696264</v>
      </c>
      <c r="K25" s="2">
        <f t="shared" si="2"/>
        <v>5079.8962127095028</v>
      </c>
      <c r="L25" s="2">
        <f t="shared" si="2"/>
        <v>4692.7470940936864</v>
      </c>
      <c r="M25" s="2">
        <f t="shared" si="2"/>
        <v>4363.4275608618154</v>
      </c>
      <c r="N25" s="2">
        <f t="shared" si="2"/>
        <v>4116.4408716989901</v>
      </c>
      <c r="O25" s="2">
        <f t="shared" si="2"/>
        <v>3920.8529948577493</v>
      </c>
      <c r="P25" s="2">
        <f t="shared" si="2"/>
        <v>3725.2888041051374</v>
      </c>
      <c r="Q25" s="2">
        <f t="shared" si="2"/>
        <v>3555.9569565074357</v>
      </c>
      <c r="R25" s="2">
        <f t="shared" si="2"/>
        <v>3386.6251089097336</v>
      </c>
      <c r="S25" s="2">
        <f t="shared" si="3"/>
        <v>3246.8061277418446</v>
      </c>
      <c r="T25" s="2">
        <f t="shared" si="3"/>
        <v>3106.9871465739548</v>
      </c>
      <c r="U25" s="2">
        <f t="shared" si="3"/>
        <v>2887.9500419915321</v>
      </c>
      <c r="V25" s="2">
        <f t="shared" si="3"/>
        <v>2776.8741293730614</v>
      </c>
      <c r="W25" s="2">
        <f t="shared" si="3"/>
        <v>2674.0291325526368</v>
      </c>
      <c r="X25" s="2">
        <f t="shared" si="1"/>
        <v>2571.1722926878979</v>
      </c>
      <c r="Y25" s="2">
        <f t="shared" si="1"/>
        <v>2521.7394257223914</v>
      </c>
      <c r="Z25" s="2">
        <f t="shared" si="1"/>
        <v>2472.2947157125718</v>
      </c>
      <c r="AA25" s="2">
        <f t="shared" si="1"/>
        <v>2424.7448927929481</v>
      </c>
      <c r="AB25" s="2">
        <f t="shared" si="1"/>
        <v>2377.2069129176384</v>
      </c>
      <c r="AC25" s="50">
        <v>17</v>
      </c>
      <c r="AD25" s="2"/>
    </row>
    <row r="26" spans="2:30" ht="15.55" x14ac:dyDescent="0.3">
      <c r="B26" s="49">
        <v>18</v>
      </c>
      <c r="C26" s="2">
        <f t="shared" si="2"/>
        <v>8911.2747709161395</v>
      </c>
      <c r="D26" s="2">
        <f t="shared" si="2"/>
        <v>8251.1807864584571</v>
      </c>
      <c r="E26" s="2">
        <f t="shared" si="2"/>
        <v>7682.1375478500368</v>
      </c>
      <c r="F26" s="2">
        <f t="shared" si="2"/>
        <v>7113.0823477668619</v>
      </c>
      <c r="G26" s="2">
        <f t="shared" si="2"/>
        <v>6676.3210584946355</v>
      </c>
      <c r="H26" s="2">
        <f t="shared" si="2"/>
        <v>6239.5478077476473</v>
      </c>
      <c r="I26" s="2">
        <f t="shared" si="2"/>
        <v>5880.6317961931063</v>
      </c>
      <c r="J26" s="2">
        <f t="shared" si="2"/>
        <v>5521.7277461133226</v>
      </c>
      <c r="K26" s="2">
        <f t="shared" si="2"/>
        <v>5130.6951748365982</v>
      </c>
      <c r="L26" s="2">
        <f t="shared" si="2"/>
        <v>4739.6745650346229</v>
      </c>
      <c r="M26" s="2">
        <f t="shared" si="2"/>
        <v>4407.0618364704333</v>
      </c>
      <c r="N26" s="2">
        <f t="shared" si="2"/>
        <v>4157.6052804159799</v>
      </c>
      <c r="O26" s="2">
        <f t="shared" si="2"/>
        <v>3960.0615248063268</v>
      </c>
      <c r="P26" s="2">
        <f t="shared" si="2"/>
        <v>3762.5416921461888</v>
      </c>
      <c r="Q26" s="2">
        <f t="shared" si="2"/>
        <v>3591.5165260725103</v>
      </c>
      <c r="R26" s="2">
        <f t="shared" si="2"/>
        <v>3420.4913599988308</v>
      </c>
      <c r="S26" s="2">
        <f t="shared" si="3"/>
        <v>3279.2741890192633</v>
      </c>
      <c r="T26" s="2">
        <f t="shared" si="3"/>
        <v>3138.0570180396944</v>
      </c>
      <c r="U26" s="2">
        <f t="shared" si="3"/>
        <v>2916.8295424114476</v>
      </c>
      <c r="V26" s="2">
        <f t="shared" si="3"/>
        <v>2804.6428706667921</v>
      </c>
      <c r="W26" s="2">
        <f t="shared" si="3"/>
        <v>2700.7694238781633</v>
      </c>
      <c r="X26" s="2">
        <f t="shared" si="1"/>
        <v>2596.8840156147767</v>
      </c>
      <c r="Y26" s="2">
        <f t="shared" si="1"/>
        <v>2546.9568199796154</v>
      </c>
      <c r="Z26" s="2">
        <f t="shared" si="1"/>
        <v>2497.0176628696977</v>
      </c>
      <c r="AA26" s="2">
        <f t="shared" si="1"/>
        <v>2448.9923417208774</v>
      </c>
      <c r="AB26" s="2">
        <f t="shared" si="1"/>
        <v>2400.978982046815</v>
      </c>
      <c r="AC26" s="50">
        <v>18</v>
      </c>
      <c r="AD26" s="2"/>
    </row>
    <row r="27" spans="2:30" ht="15.55" x14ac:dyDescent="0.3">
      <c r="B27" s="49">
        <v>19</v>
      </c>
      <c r="C27" s="2">
        <f t="shared" si="2"/>
        <v>9000.3875186253008</v>
      </c>
      <c r="D27" s="2">
        <f t="shared" si="2"/>
        <v>8333.6925943230417</v>
      </c>
      <c r="E27" s="2">
        <f t="shared" si="2"/>
        <v>7758.9589233285369</v>
      </c>
      <c r="F27" s="2">
        <f t="shared" si="2"/>
        <v>7184.2131712445307</v>
      </c>
      <c r="G27" s="2">
        <f t="shared" si="2"/>
        <v>6743.0842690795816</v>
      </c>
      <c r="H27" s="2">
        <f t="shared" si="2"/>
        <v>6301.9432858251239</v>
      </c>
      <c r="I27" s="2">
        <f t="shared" si="2"/>
        <v>5939.4381141550375</v>
      </c>
      <c r="J27" s="2">
        <f t="shared" si="2"/>
        <v>5576.9450235744562</v>
      </c>
      <c r="K27" s="2">
        <f t="shared" si="2"/>
        <v>5182.0021265849646</v>
      </c>
      <c r="L27" s="2">
        <f t="shared" si="2"/>
        <v>4787.0713106849689</v>
      </c>
      <c r="M27" s="2">
        <f t="shared" si="2"/>
        <v>4451.1324548351377</v>
      </c>
      <c r="N27" s="2">
        <f t="shared" si="2"/>
        <v>4199.18133322014</v>
      </c>
      <c r="O27" s="2">
        <f t="shared" si="2"/>
        <v>3999.66214005439</v>
      </c>
      <c r="P27" s="2">
        <f t="shared" si="2"/>
        <v>3800.1671090676505</v>
      </c>
      <c r="Q27" s="2">
        <f t="shared" si="2"/>
        <v>3627.4316913332354</v>
      </c>
      <c r="R27" s="2">
        <f t="shared" si="2"/>
        <v>3454.6962735988191</v>
      </c>
      <c r="S27" s="2">
        <f t="shared" si="3"/>
        <v>3312.066930909456</v>
      </c>
      <c r="T27" s="2">
        <f t="shared" si="3"/>
        <v>3169.4375882200911</v>
      </c>
      <c r="U27" s="2">
        <f t="shared" si="3"/>
        <v>2945.9978378355622</v>
      </c>
      <c r="V27" s="2">
        <f t="shared" si="3"/>
        <v>2832.68929937346</v>
      </c>
      <c r="W27" s="2">
        <f t="shared" si="3"/>
        <v>2727.7771181169451</v>
      </c>
      <c r="X27" s="2">
        <f t="shared" si="1"/>
        <v>2622.8528557709246</v>
      </c>
      <c r="Y27" s="2">
        <f t="shared" si="1"/>
        <v>2572.4263881794113</v>
      </c>
      <c r="Z27" s="2">
        <f t="shared" si="1"/>
        <v>2521.9878394983948</v>
      </c>
      <c r="AA27" s="2">
        <f t="shared" si="1"/>
        <v>2473.4822651380864</v>
      </c>
      <c r="AB27" s="2">
        <f t="shared" si="1"/>
        <v>2424.988771867283</v>
      </c>
      <c r="AC27" s="50">
        <v>19</v>
      </c>
      <c r="AD27" s="2"/>
    </row>
    <row r="28" spans="2:30" ht="15.55" x14ac:dyDescent="0.3">
      <c r="B28" s="49">
        <v>20</v>
      </c>
      <c r="C28" s="2">
        <f t="shared" si="2"/>
        <v>9090.3913938115529</v>
      </c>
      <c r="D28" s="2">
        <f t="shared" si="2"/>
        <v>8417.0295202662728</v>
      </c>
      <c r="E28" s="2">
        <f t="shared" si="2"/>
        <v>7836.5485125618225</v>
      </c>
      <c r="F28" s="2">
        <f t="shared" si="2"/>
        <v>7256.0553029569764</v>
      </c>
      <c r="G28" s="2">
        <f t="shared" si="2"/>
        <v>6810.5151117703772</v>
      </c>
      <c r="H28" s="2">
        <f t="shared" si="2"/>
        <v>6364.962718683375</v>
      </c>
      <c r="I28" s="2">
        <f t="shared" si="2"/>
        <v>5998.8324952965877</v>
      </c>
      <c r="J28" s="2">
        <f t="shared" si="2"/>
        <v>5632.7144738102006</v>
      </c>
      <c r="K28" s="2">
        <f t="shared" si="2"/>
        <v>5233.822147850814</v>
      </c>
      <c r="L28" s="2">
        <f t="shared" si="2"/>
        <v>4834.9420237918184</v>
      </c>
      <c r="M28" s="2">
        <f t="shared" si="2"/>
        <v>4495.6437793834893</v>
      </c>
      <c r="N28" s="2">
        <f t="shared" si="2"/>
        <v>4241.1731465523417</v>
      </c>
      <c r="O28" s="2">
        <f t="shared" si="2"/>
        <v>4039.6587614549339</v>
      </c>
      <c r="P28" s="2">
        <f t="shared" si="2"/>
        <v>3838.1687801583271</v>
      </c>
      <c r="Q28" s="2">
        <f t="shared" si="2"/>
        <v>3663.7060082465678</v>
      </c>
      <c r="R28" s="2">
        <f t="shared" si="2"/>
        <v>3489.2432363348071</v>
      </c>
      <c r="S28" s="2">
        <f t="shared" si="3"/>
        <v>3345.1876002185504</v>
      </c>
      <c r="T28" s="2">
        <f t="shared" si="3"/>
        <v>3201.1319641022919</v>
      </c>
      <c r="U28" s="2">
        <f t="shared" si="3"/>
        <v>2975.4578162139178</v>
      </c>
      <c r="V28" s="2">
        <f t="shared" si="3"/>
        <v>2861.0161923671944</v>
      </c>
      <c r="W28" s="2">
        <f t="shared" si="3"/>
        <v>2755.0548892981146</v>
      </c>
      <c r="X28" s="2">
        <f t="shared" si="1"/>
        <v>2649.0813843286337</v>
      </c>
      <c r="Y28" s="2">
        <f t="shared" si="1"/>
        <v>2598.1506520612056</v>
      </c>
      <c r="Z28" s="2">
        <f t="shared" si="1"/>
        <v>2547.2077178933787</v>
      </c>
      <c r="AA28" s="2">
        <f t="shared" si="1"/>
        <v>2498.2170877894673</v>
      </c>
      <c r="AB28" s="2">
        <f t="shared" si="1"/>
        <v>2449.2386595859557</v>
      </c>
      <c r="AC28" s="50">
        <v>20</v>
      </c>
      <c r="AD28" s="2"/>
    </row>
    <row r="29" spans="2:30" ht="15.55" x14ac:dyDescent="0.3">
      <c r="B29" s="49">
        <v>21</v>
      </c>
      <c r="C29" s="2">
        <f t="shared" si="2"/>
        <v>9181.2953077496677</v>
      </c>
      <c r="D29" s="2">
        <f t="shared" si="2"/>
        <v>8501.1998154689354</v>
      </c>
      <c r="E29" s="2">
        <f t="shared" si="2"/>
        <v>7914.9139976874403</v>
      </c>
      <c r="F29" s="2">
        <f t="shared" si="2"/>
        <v>7328.6158559865462</v>
      </c>
      <c r="G29" s="2">
        <f t="shared" si="2"/>
        <v>6878.620262888081</v>
      </c>
      <c r="H29" s="2">
        <f t="shared" si="2"/>
        <v>6428.6123458702086</v>
      </c>
      <c r="I29" s="2">
        <f t="shared" si="2"/>
        <v>6058.8208202495534</v>
      </c>
      <c r="J29" s="2">
        <f t="shared" si="2"/>
        <v>5689.0416185483027</v>
      </c>
      <c r="K29" s="2">
        <f t="shared" si="2"/>
        <v>5286.1603693293218</v>
      </c>
      <c r="L29" s="2">
        <f t="shared" si="2"/>
        <v>4883.2914440297363</v>
      </c>
      <c r="M29" s="2">
        <f t="shared" si="2"/>
        <v>4540.6002171773243</v>
      </c>
      <c r="N29" s="2">
        <f t="shared" si="2"/>
        <v>4283.5848780178649</v>
      </c>
      <c r="O29" s="2">
        <f t="shared" si="2"/>
        <v>4080.0553490694833</v>
      </c>
      <c r="P29" s="2">
        <f t="shared" si="2"/>
        <v>3876.5504679599103</v>
      </c>
      <c r="Q29" s="2">
        <f t="shared" si="2"/>
        <v>3700.3430683290335</v>
      </c>
      <c r="R29" s="2">
        <f t="shared" si="2"/>
        <v>3524.1356686981553</v>
      </c>
      <c r="S29" s="2">
        <f t="shared" si="3"/>
        <v>3378.639476220736</v>
      </c>
      <c r="T29" s="2">
        <f t="shared" si="3"/>
        <v>3233.1432837433149</v>
      </c>
      <c r="U29" s="2">
        <f t="shared" si="3"/>
        <v>3005.2123943760571</v>
      </c>
      <c r="V29" s="2">
        <f t="shared" si="3"/>
        <v>2889.6263542908664</v>
      </c>
      <c r="W29" s="2">
        <f t="shared" si="3"/>
        <v>2782.6054381910958</v>
      </c>
      <c r="X29" s="2">
        <f t="shared" si="1"/>
        <v>2675.5721981719203</v>
      </c>
      <c r="Y29" s="2">
        <f t="shared" si="1"/>
        <v>2624.1321585818177</v>
      </c>
      <c r="Z29" s="2">
        <f t="shared" si="1"/>
        <v>2572.6797950723126</v>
      </c>
      <c r="AA29" s="2">
        <f t="shared" si="1"/>
        <v>2523.1992586673618</v>
      </c>
      <c r="AB29" s="2">
        <f t="shared" si="1"/>
        <v>2473.7310461818151</v>
      </c>
      <c r="AC29" s="50">
        <v>21</v>
      </c>
      <c r="AD29" s="2"/>
    </row>
    <row r="30" spans="2:30" ht="15.55" x14ac:dyDescent="0.3">
      <c r="B30" s="49">
        <v>22</v>
      </c>
      <c r="C30" s="2">
        <f t="shared" si="2"/>
        <v>9273.1082608271645</v>
      </c>
      <c r="D30" s="2">
        <f t="shared" si="2"/>
        <v>8586.211813623624</v>
      </c>
      <c r="E30" s="2">
        <f t="shared" si="2"/>
        <v>7994.063137664315</v>
      </c>
      <c r="F30" s="2">
        <f t="shared" si="2"/>
        <v>7401.9020145464119</v>
      </c>
      <c r="G30" s="2">
        <f t="shared" si="2"/>
        <v>6947.4064655169623</v>
      </c>
      <c r="H30" s="2">
        <f t="shared" si="2"/>
        <v>6492.8984693289103</v>
      </c>
      <c r="I30" s="2">
        <f t="shared" si="2"/>
        <v>6119.4090284520489</v>
      </c>
      <c r="J30" s="2">
        <f t="shared" si="2"/>
        <v>5745.9320347337862</v>
      </c>
      <c r="K30" s="2">
        <f t="shared" si="2"/>
        <v>5339.0219730226154</v>
      </c>
      <c r="L30" s="2">
        <f t="shared" si="2"/>
        <v>4932.1243584700333</v>
      </c>
      <c r="M30" s="2">
        <f t="shared" si="2"/>
        <v>4586.0062193490976</v>
      </c>
      <c r="N30" s="2">
        <f t="shared" si="2"/>
        <v>4326.4207267980437</v>
      </c>
      <c r="O30" s="2">
        <f t="shared" si="2"/>
        <v>4120.855902560178</v>
      </c>
      <c r="P30" s="2">
        <f t="shared" si="2"/>
        <v>3915.3159726395093</v>
      </c>
      <c r="Q30" s="2">
        <f t="shared" si="2"/>
        <v>3737.3464990123239</v>
      </c>
      <c r="R30" s="2">
        <f t="shared" si="2"/>
        <v>3559.3770253851367</v>
      </c>
      <c r="S30" s="2">
        <f t="shared" si="3"/>
        <v>3412.4258709829433</v>
      </c>
      <c r="T30" s="2">
        <f t="shared" si="3"/>
        <v>3265.474716580748</v>
      </c>
      <c r="U30" s="2">
        <f t="shared" si="3"/>
        <v>3035.2645183198179</v>
      </c>
      <c r="V30" s="2">
        <f t="shared" si="3"/>
        <v>2918.5226178337753</v>
      </c>
      <c r="W30" s="2">
        <f t="shared" si="3"/>
        <v>2810.4314925730068</v>
      </c>
      <c r="X30" s="2">
        <f t="shared" si="1"/>
        <v>2702.3279201536393</v>
      </c>
      <c r="Y30" s="2">
        <f t="shared" si="1"/>
        <v>2650.373480167636</v>
      </c>
      <c r="Z30" s="2">
        <f t="shared" si="1"/>
        <v>2598.4065930230358</v>
      </c>
      <c r="AA30" s="2">
        <f t="shared" si="1"/>
        <v>2548.4312512540355</v>
      </c>
      <c r="AB30" s="2">
        <f t="shared" si="1"/>
        <v>2498.4683566436333</v>
      </c>
      <c r="AC30" s="50">
        <v>22</v>
      </c>
      <c r="AD30" s="2"/>
    </row>
    <row r="31" spans="2:30" ht="15.55" x14ac:dyDescent="0.3">
      <c r="B31" s="49">
        <v>23</v>
      </c>
      <c r="C31" s="2">
        <f t="shared" si="2"/>
        <v>9365.8393434354366</v>
      </c>
      <c r="D31" s="2">
        <f t="shared" si="2"/>
        <v>8672.07393175986</v>
      </c>
      <c r="E31" s="2">
        <f t="shared" si="2"/>
        <v>8074.0037690409581</v>
      </c>
      <c r="F31" s="2">
        <f t="shared" si="2"/>
        <v>7475.9210346918762</v>
      </c>
      <c r="G31" s="2">
        <f t="shared" si="2"/>
        <v>7016.8805301721322</v>
      </c>
      <c r="H31" s="2">
        <f t="shared" si="2"/>
        <v>6557.8274540221992</v>
      </c>
      <c r="I31" s="2">
        <f t="shared" si="2"/>
        <v>6180.6031187365697</v>
      </c>
      <c r="J31" s="2">
        <f t="shared" si="2"/>
        <v>5803.3913550811239</v>
      </c>
      <c r="K31" s="2">
        <f t="shared" si="2"/>
        <v>5392.4121927528413</v>
      </c>
      <c r="L31" s="2">
        <f t="shared" si="2"/>
        <v>4981.4456020547332</v>
      </c>
      <c r="M31" s="2">
        <f t="shared" si="2"/>
        <v>4631.8662815425887</v>
      </c>
      <c r="N31" s="2">
        <f t="shared" si="2"/>
        <v>4369.6849340660237</v>
      </c>
      <c r="O31" s="2">
        <f t="shared" si="2"/>
        <v>4162.06446158578</v>
      </c>
      <c r="P31" s="2">
        <f t="shared" si="2"/>
        <v>3954.4691323659044</v>
      </c>
      <c r="Q31" s="2">
        <f t="shared" si="2"/>
        <v>3774.7199640024473</v>
      </c>
      <c r="R31" s="2">
        <f t="shared" si="2"/>
        <v>3594.970795638988</v>
      </c>
      <c r="S31" s="2">
        <f t="shared" si="3"/>
        <v>3446.5501296927728</v>
      </c>
      <c r="T31" s="2">
        <f t="shared" si="3"/>
        <v>3298.1294637465553</v>
      </c>
      <c r="U31" s="2">
        <f t="shared" si="3"/>
        <v>3065.6171635030159</v>
      </c>
      <c r="V31" s="2">
        <f t="shared" si="3"/>
        <v>2947.7078440121131</v>
      </c>
      <c r="W31" s="2">
        <f t="shared" si="3"/>
        <v>2838.5358074987371</v>
      </c>
      <c r="X31" s="2">
        <f t="shared" si="1"/>
        <v>2729.3511993551756</v>
      </c>
      <c r="Y31" s="2">
        <f t="shared" si="1"/>
        <v>2676.8772149693123</v>
      </c>
      <c r="Z31" s="2">
        <f t="shared" si="1"/>
        <v>2624.3906589532662</v>
      </c>
      <c r="AA31" s="2">
        <f t="shared" si="1"/>
        <v>2573.9155637665758</v>
      </c>
      <c r="AB31" s="2">
        <f t="shared" si="1"/>
        <v>2523.4530402100695</v>
      </c>
      <c r="AC31" s="50">
        <v>23</v>
      </c>
      <c r="AD31" s="2"/>
    </row>
    <row r="32" spans="2:30" ht="15.55" x14ac:dyDescent="0.3">
      <c r="B32" s="49">
        <v>24</v>
      </c>
      <c r="C32" s="2">
        <f t="shared" si="2"/>
        <v>9459.497736869791</v>
      </c>
      <c r="D32" s="2">
        <f t="shared" si="2"/>
        <v>8758.7946710774595</v>
      </c>
      <c r="E32" s="2">
        <f t="shared" si="2"/>
        <v>8154.7438067313678</v>
      </c>
      <c r="F32" s="2">
        <f t="shared" si="2"/>
        <v>7550.680245038795</v>
      </c>
      <c r="G32" s="2">
        <f t="shared" si="2"/>
        <v>7087.0493354738537</v>
      </c>
      <c r="H32" s="2">
        <f t="shared" si="2"/>
        <v>6623.4057285624212</v>
      </c>
      <c r="I32" s="2">
        <f t="shared" si="2"/>
        <v>6242.4091499239357</v>
      </c>
      <c r="J32" s="2">
        <f t="shared" si="2"/>
        <v>5861.4252686319351</v>
      </c>
      <c r="K32" s="2">
        <f t="shared" si="2"/>
        <v>5446.3363146803695</v>
      </c>
      <c r="L32" s="2">
        <f t="shared" si="2"/>
        <v>5031.2600580752805</v>
      </c>
      <c r="M32" s="2">
        <f t="shared" si="2"/>
        <v>4678.1849443580149</v>
      </c>
      <c r="N32" s="2">
        <f t="shared" si="2"/>
        <v>4413.381783406684</v>
      </c>
      <c r="O32" s="2">
        <f t="shared" si="2"/>
        <v>4203.6851062016376</v>
      </c>
      <c r="P32" s="2">
        <f t="shared" si="2"/>
        <v>3994.0138236895637</v>
      </c>
      <c r="Q32" s="2">
        <f t="shared" si="2"/>
        <v>3812.4671636424719</v>
      </c>
      <c r="R32" s="2">
        <f t="shared" si="2"/>
        <v>3630.9205035953778</v>
      </c>
      <c r="S32" s="2">
        <f t="shared" si="3"/>
        <v>3481.0156309897006</v>
      </c>
      <c r="T32" s="2">
        <f t="shared" si="3"/>
        <v>3331.1107583840208</v>
      </c>
      <c r="U32" s="2">
        <f t="shared" si="3"/>
        <v>3096.2733351380461</v>
      </c>
      <c r="V32" s="2">
        <f t="shared" si="3"/>
        <v>2977.1849224522343</v>
      </c>
      <c r="W32" s="2">
        <f t="shared" si="3"/>
        <v>2866.9211655737245</v>
      </c>
      <c r="X32" s="2">
        <f t="shared" si="1"/>
        <v>2756.6447113487275</v>
      </c>
      <c r="Y32" s="2">
        <f t="shared" si="1"/>
        <v>2703.6459871190054</v>
      </c>
      <c r="Z32" s="2">
        <f t="shared" si="1"/>
        <v>2650.634565542799</v>
      </c>
      <c r="AA32" s="2">
        <f t="shared" si="1"/>
        <v>2599.6547194042414</v>
      </c>
      <c r="AB32" s="2">
        <f t="shared" si="1"/>
        <v>2548.68757061217</v>
      </c>
      <c r="AC32" s="50">
        <v>24</v>
      </c>
      <c r="AD32" s="2"/>
    </row>
    <row r="33" spans="2:30" ht="15.55" x14ac:dyDescent="0.3">
      <c r="B33" s="49">
        <v>25</v>
      </c>
      <c r="C33" s="2">
        <f t="shared" si="2"/>
        <v>9554.092714238488</v>
      </c>
      <c r="D33" s="2">
        <f t="shared" si="2"/>
        <v>8846.3826177882347</v>
      </c>
      <c r="E33" s="2">
        <f t="shared" si="2"/>
        <v>8236.2912447986819</v>
      </c>
      <c r="F33" s="2">
        <f t="shared" si="2"/>
        <v>7626.187047489183</v>
      </c>
      <c r="G33" s="2">
        <f t="shared" si="2"/>
        <v>7157.9198288285925</v>
      </c>
      <c r="H33" s="2">
        <f t="shared" si="2"/>
        <v>6689.6397858480459</v>
      </c>
      <c r="I33" s="2">
        <f t="shared" si="2"/>
        <v>6304.8332414231754</v>
      </c>
      <c r="J33" s="2">
        <f t="shared" si="2"/>
        <v>5920.0395213182546</v>
      </c>
      <c r="K33" s="2">
        <f t="shared" si="2"/>
        <v>5500.7996778271736</v>
      </c>
      <c r="L33" s="2">
        <f t="shared" si="2"/>
        <v>5081.5726586560331</v>
      </c>
      <c r="M33" s="2">
        <f t="shared" si="2"/>
        <v>4724.9667938015955</v>
      </c>
      <c r="N33" s="2">
        <f t="shared" si="2"/>
        <v>4457.5156012407506</v>
      </c>
      <c r="O33" s="2">
        <f t="shared" si="2"/>
        <v>4245.7219572636541</v>
      </c>
      <c r="P33" s="2">
        <f t="shared" si="2"/>
        <v>4033.9539619264592</v>
      </c>
      <c r="Q33" s="2">
        <f t="shared" si="2"/>
        <v>3850.5918352788967</v>
      </c>
      <c r="R33" s="2">
        <f t="shared" si="2"/>
        <v>3667.2297086313315</v>
      </c>
      <c r="S33" s="2">
        <f t="shared" si="3"/>
        <v>3515.8257872995978</v>
      </c>
      <c r="T33" s="2">
        <f t="shared" si="3"/>
        <v>3364.4218659678609</v>
      </c>
      <c r="U33" s="2">
        <f t="shared" si="3"/>
        <v>3127.2360684894265</v>
      </c>
      <c r="V33" s="2">
        <f t="shared" si="3"/>
        <v>3006.9567716767565</v>
      </c>
      <c r="W33" s="2">
        <f t="shared" si="3"/>
        <v>2895.5903772294619</v>
      </c>
      <c r="X33" s="2">
        <f t="shared" si="1"/>
        <v>2784.2111584622148</v>
      </c>
      <c r="Y33" s="2">
        <f t="shared" si="1"/>
        <v>2730.6824469901953</v>
      </c>
      <c r="Z33" s="2">
        <f t="shared" si="1"/>
        <v>2677.1409111982271</v>
      </c>
      <c r="AA33" s="2">
        <f t="shared" si="1"/>
        <v>2625.6512665982837</v>
      </c>
      <c r="AB33" s="2">
        <f t="shared" si="1"/>
        <v>2574.1744463182918</v>
      </c>
      <c r="AC33" s="50">
        <v>25</v>
      </c>
      <c r="AD33" s="2"/>
    </row>
    <row r="34" spans="2:30" ht="15.55" x14ac:dyDescent="0.3">
      <c r="B34" s="49">
        <v>26</v>
      </c>
      <c r="C34" s="2">
        <f t="shared" si="2"/>
        <v>9649.6336413808731</v>
      </c>
      <c r="D34" s="2">
        <f t="shared" si="2"/>
        <v>8934.8464439661166</v>
      </c>
      <c r="E34" s="2">
        <f t="shared" si="2"/>
        <v>8318.6541572466685</v>
      </c>
      <c r="F34" s="2">
        <f t="shared" si="2"/>
        <v>7702.448917964075</v>
      </c>
      <c r="G34" s="2">
        <f t="shared" si="2"/>
        <v>7229.4990271168781</v>
      </c>
      <c r="H34" s="2">
        <f t="shared" si="2"/>
        <v>6756.5361837065266</v>
      </c>
      <c r="I34" s="2">
        <f t="shared" si="2"/>
        <v>6367.8815738374069</v>
      </c>
      <c r="J34" s="2">
        <f t="shared" si="2"/>
        <v>5979.2399165314373</v>
      </c>
      <c r="K34" s="2">
        <f t="shared" si="2"/>
        <v>5555.8076746054458</v>
      </c>
      <c r="L34" s="2">
        <f t="shared" si="2"/>
        <v>5132.3883852425934</v>
      </c>
      <c r="M34" s="2">
        <f t="shared" si="2"/>
        <v>4772.2164617396111</v>
      </c>
      <c r="N34" s="2">
        <f t="shared" si="2"/>
        <v>4502.0907572531578</v>
      </c>
      <c r="O34" s="2">
        <f t="shared" si="2"/>
        <v>4288.1791768362909</v>
      </c>
      <c r="P34" s="2">
        <f t="shared" si="2"/>
        <v>4074.2935015457238</v>
      </c>
      <c r="Q34" s="2">
        <f t="shared" si="2"/>
        <v>3889.0977536316859</v>
      </c>
      <c r="R34" s="2">
        <f>R33+R33*1%</f>
        <v>3703.9020057176449</v>
      </c>
      <c r="S34" s="2">
        <f t="shared" si="3"/>
        <v>3550.9840451725936</v>
      </c>
      <c r="T34" s="2">
        <f t="shared" si="3"/>
        <v>3398.0660846275396</v>
      </c>
      <c r="U34" s="2">
        <f t="shared" si="3"/>
        <v>3158.508429174321</v>
      </c>
      <c r="V34" s="2">
        <f t="shared" si="3"/>
        <v>3037.0263393935243</v>
      </c>
      <c r="W34" s="2">
        <f t="shared" si="3"/>
        <v>2924.5462810017566</v>
      </c>
      <c r="X34" s="2">
        <f t="shared" si="1"/>
        <v>2812.053270046837</v>
      </c>
      <c r="Y34" s="2">
        <f t="shared" si="1"/>
        <v>2757.9892714600974</v>
      </c>
      <c r="Z34" s="2">
        <f t="shared" si="1"/>
        <v>2703.9123203102095</v>
      </c>
      <c r="AA34" s="2">
        <f t="shared" si="1"/>
        <v>2651.9077792642665</v>
      </c>
      <c r="AB34" s="2">
        <f t="shared" si="1"/>
        <v>2599.9161907814746</v>
      </c>
      <c r="AC34" s="50">
        <v>26</v>
      </c>
      <c r="AD34" s="2"/>
    </row>
    <row r="35" spans="2:30" ht="15.55" x14ac:dyDescent="0.3">
      <c r="B35" s="49">
        <v>27</v>
      </c>
      <c r="C35" s="2">
        <f t="shared" ref="C35:Q38" si="4">C34+C34*1%</f>
        <v>9746.1299777946824</v>
      </c>
      <c r="D35" s="2">
        <f t="shared" si="4"/>
        <v>9024.1949084057778</v>
      </c>
      <c r="E35" s="2">
        <f t="shared" si="4"/>
        <v>8401.8406988191346</v>
      </c>
      <c r="F35" s="2">
        <f t="shared" si="4"/>
        <v>7779.473407143716</v>
      </c>
      <c r="G35" s="2">
        <f t="shared" si="4"/>
        <v>7301.794017388047</v>
      </c>
      <c r="H35" s="2">
        <f t="shared" si="4"/>
        <v>6824.1015455435918</v>
      </c>
      <c r="I35" s="2">
        <f t="shared" si="4"/>
        <v>6431.5603895757813</v>
      </c>
      <c r="J35" s="2">
        <f t="shared" si="4"/>
        <v>6039.0323156967515</v>
      </c>
      <c r="K35" s="2">
        <f t="shared" si="4"/>
        <v>5611.3657513515</v>
      </c>
      <c r="L35" s="2">
        <f t="shared" si="4"/>
        <v>5183.7122690950191</v>
      </c>
      <c r="M35" s="2">
        <f t="shared" si="4"/>
        <v>4819.9386263570068</v>
      </c>
      <c r="N35" s="2">
        <f t="shared" si="4"/>
        <v>4547.1116648256893</v>
      </c>
      <c r="O35" s="2">
        <f t="shared" si="4"/>
        <v>4331.0609686046537</v>
      </c>
      <c r="P35" s="2">
        <f t="shared" si="4"/>
        <v>4115.0364365611813</v>
      </c>
      <c r="Q35" s="2">
        <f t="shared" si="4"/>
        <v>3927.9887311680027</v>
      </c>
      <c r="R35" s="2">
        <f>R34+R34*1%</f>
        <v>3740.9410257748214</v>
      </c>
      <c r="S35" s="2">
        <f t="shared" si="3"/>
        <v>3586.4938856243193</v>
      </c>
      <c r="T35" s="2">
        <f t="shared" si="3"/>
        <v>3432.046745473815</v>
      </c>
      <c r="U35" s="2">
        <f t="shared" si="3"/>
        <v>3190.093513466064</v>
      </c>
      <c r="V35" s="2">
        <f t="shared" si="3"/>
        <v>3067.3966027874594</v>
      </c>
      <c r="W35" s="2">
        <f t="shared" si="3"/>
        <v>2953.7917438117743</v>
      </c>
      <c r="X35" s="2">
        <f t="shared" si="1"/>
        <v>2840.1738027473052</v>
      </c>
      <c r="Y35" s="2">
        <f t="shared" si="1"/>
        <v>2785.5691641746985</v>
      </c>
      <c r="Z35" s="2">
        <f t="shared" si="1"/>
        <v>2730.9514435133115</v>
      </c>
      <c r="AA35" s="2">
        <f t="shared" si="1"/>
        <v>2678.4268570569093</v>
      </c>
      <c r="AB35" s="2">
        <f t="shared" si="1"/>
        <v>2625.9153526892892</v>
      </c>
      <c r="AC35" s="50">
        <v>27</v>
      </c>
      <c r="AD35" s="2"/>
    </row>
    <row r="36" spans="2:30" ht="15.55" x14ac:dyDescent="0.3">
      <c r="B36" s="49">
        <v>28</v>
      </c>
      <c r="C36" s="2">
        <f t="shared" si="4"/>
        <v>9843.5912775726301</v>
      </c>
      <c r="D36" s="2">
        <f t="shared" si="4"/>
        <v>9114.4368574898363</v>
      </c>
      <c r="E36" s="2">
        <f t="shared" si="4"/>
        <v>8485.8591058073252</v>
      </c>
      <c r="F36" s="2">
        <f t="shared" si="4"/>
        <v>7857.2681412151533</v>
      </c>
      <c r="G36" s="2">
        <f t="shared" si="4"/>
        <v>7374.8119575619276</v>
      </c>
      <c r="H36" s="2">
        <f t="shared" si="4"/>
        <v>6892.3425609990281</v>
      </c>
      <c r="I36" s="2">
        <f t="shared" si="4"/>
        <v>6495.875993471539</v>
      </c>
      <c r="J36" s="2">
        <f t="shared" si="4"/>
        <v>6099.422638853719</v>
      </c>
      <c r="K36" s="2">
        <f t="shared" si="4"/>
        <v>5667.4794088650151</v>
      </c>
      <c r="L36" s="2">
        <f t="shared" si="4"/>
        <v>5235.5493917859694</v>
      </c>
      <c r="M36" s="2">
        <f t="shared" si="4"/>
        <v>4868.1380126205768</v>
      </c>
      <c r="N36" s="2">
        <f t="shared" si="4"/>
        <v>4592.5827814739459</v>
      </c>
      <c r="O36" s="2">
        <f t="shared" si="4"/>
        <v>4374.3715782907002</v>
      </c>
      <c r="P36" s="2">
        <f t="shared" si="4"/>
        <v>4156.1868009267928</v>
      </c>
      <c r="Q36" s="2">
        <f t="shared" si="4"/>
        <v>3967.2686184796826</v>
      </c>
      <c r="R36" s="2">
        <f>R35+R35*1%</f>
        <v>3778.3504360325696</v>
      </c>
      <c r="S36" s="2">
        <f t="shared" si="3"/>
        <v>3622.3588244805624</v>
      </c>
      <c r="T36" s="2">
        <f t="shared" si="3"/>
        <v>3466.3672129285533</v>
      </c>
      <c r="U36" s="2">
        <f t="shared" si="3"/>
        <v>3221.9944486007248</v>
      </c>
      <c r="V36" s="2">
        <f t="shared" si="3"/>
        <v>3098.0705688153339</v>
      </c>
      <c r="W36" s="2">
        <f t="shared" si="3"/>
        <v>2983.3296612498921</v>
      </c>
      <c r="X36" s="2">
        <f t="shared" si="1"/>
        <v>2868.5755407747783</v>
      </c>
      <c r="Y36" s="2">
        <f t="shared" si="1"/>
        <v>2813.4248558164454</v>
      </c>
      <c r="Z36" s="2">
        <f t="shared" si="1"/>
        <v>2758.2609579484447</v>
      </c>
      <c r="AA36" s="2">
        <f t="shared" si="1"/>
        <v>2705.2111256274784</v>
      </c>
      <c r="AB36" s="2">
        <f t="shared" si="1"/>
        <v>2652.1745062161822</v>
      </c>
      <c r="AC36" s="50">
        <v>28</v>
      </c>
      <c r="AD36" s="2"/>
    </row>
    <row r="37" spans="2:30" ht="15.55" x14ac:dyDescent="0.3">
      <c r="B37" s="49">
        <v>29</v>
      </c>
      <c r="C37" s="2">
        <f t="shared" si="4"/>
        <v>9942.0271903483572</v>
      </c>
      <c r="D37" s="2">
        <f t="shared" si="4"/>
        <v>9205.5812260647344</v>
      </c>
      <c r="E37" s="2">
        <f t="shared" si="4"/>
        <v>8570.7176968653985</v>
      </c>
      <c r="F37" s="2">
        <f t="shared" si="4"/>
        <v>7935.840822627305</v>
      </c>
      <c r="G37" s="2">
        <f t="shared" si="4"/>
        <v>7448.5600771375466</v>
      </c>
      <c r="H37" s="2">
        <f t="shared" si="4"/>
        <v>6961.265986609018</v>
      </c>
      <c r="I37" s="2">
        <f t="shared" si="4"/>
        <v>6560.8347534062541</v>
      </c>
      <c r="J37" s="2">
        <f t="shared" si="4"/>
        <v>6160.4168652422559</v>
      </c>
      <c r="K37" s="2">
        <f t="shared" si="4"/>
        <v>5724.1542029536649</v>
      </c>
      <c r="L37" s="2">
        <f t="shared" si="4"/>
        <v>5287.9048857038288</v>
      </c>
      <c r="M37" s="2">
        <f t="shared" si="4"/>
        <v>4916.8193927467828</v>
      </c>
      <c r="N37" s="2">
        <f t="shared" si="4"/>
        <v>4638.508609288685</v>
      </c>
      <c r="O37" s="2">
        <f t="shared" si="4"/>
        <v>4418.1152940736074</v>
      </c>
      <c r="P37" s="2">
        <f t="shared" si="4"/>
        <v>4197.7486689360603</v>
      </c>
      <c r="Q37" s="2">
        <f t="shared" si="4"/>
        <v>4006.9413046644795</v>
      </c>
      <c r="R37" s="2">
        <f>R36+R36*1%</f>
        <v>3816.1339403928955</v>
      </c>
      <c r="S37" s="2">
        <f t="shared" si="3"/>
        <v>3658.5824127253682</v>
      </c>
      <c r="T37" s="2">
        <f t="shared" si="3"/>
        <v>3501.030885057839</v>
      </c>
      <c r="U37" s="2">
        <f t="shared" si="3"/>
        <v>3254.2143930867319</v>
      </c>
      <c r="V37" s="2">
        <f t="shared" si="3"/>
        <v>3129.0512745034871</v>
      </c>
      <c r="W37" s="2">
        <f t="shared" si="3"/>
        <v>3013.1629578623911</v>
      </c>
      <c r="X37" s="2">
        <f t="shared" si="1"/>
        <v>2897.2612961825262</v>
      </c>
      <c r="Y37" s="2">
        <f t="shared" si="1"/>
        <v>2841.5591043746099</v>
      </c>
      <c r="Z37" s="2">
        <f t="shared" si="1"/>
        <v>2785.8435675279293</v>
      </c>
      <c r="AA37" s="2">
        <f t="shared" si="1"/>
        <v>2732.2632368837531</v>
      </c>
      <c r="AB37" s="2">
        <f t="shared" si="1"/>
        <v>2678.6962512783439</v>
      </c>
      <c r="AC37" s="50">
        <v>29</v>
      </c>
      <c r="AD37" s="2"/>
    </row>
    <row r="38" spans="2:30" ht="15.55" x14ac:dyDescent="0.3">
      <c r="B38" s="49">
        <v>30</v>
      </c>
      <c r="C38" s="2">
        <f t="shared" si="4"/>
        <v>10041.447462251841</v>
      </c>
      <c r="D38" s="2">
        <f t="shared" si="4"/>
        <v>9297.6370383253816</v>
      </c>
      <c r="E38" s="2">
        <f t="shared" si="4"/>
        <v>8656.4248738340521</v>
      </c>
      <c r="F38" s="2">
        <f t="shared" si="4"/>
        <v>8015.1992308535782</v>
      </c>
      <c r="G38" s="2">
        <f t="shared" si="4"/>
        <v>7523.0456779089218</v>
      </c>
      <c r="H38" s="2">
        <f t="shared" si="4"/>
        <v>7030.8786464751083</v>
      </c>
      <c r="I38" s="2">
        <f t="shared" si="4"/>
        <v>6626.443100940317</v>
      </c>
      <c r="J38" s="2">
        <f t="shared" si="4"/>
        <v>6222.0210338946781</v>
      </c>
      <c r="K38" s="2">
        <f t="shared" si="4"/>
        <v>5781.3957449832014</v>
      </c>
      <c r="L38" s="2">
        <f t="shared" si="4"/>
        <v>5340.7839345608672</v>
      </c>
      <c r="M38" s="2">
        <f t="shared" si="4"/>
        <v>4965.9875866742505</v>
      </c>
      <c r="N38" s="2">
        <f t="shared" si="4"/>
        <v>4684.8936953815719</v>
      </c>
      <c r="O38" s="2">
        <f t="shared" si="4"/>
        <v>4462.2964470143434</v>
      </c>
      <c r="P38" s="2">
        <f t="shared" si="4"/>
        <v>4239.7261556254207</v>
      </c>
      <c r="Q38" s="2">
        <f t="shared" si="4"/>
        <v>4047.0107177111245</v>
      </c>
      <c r="R38" s="2">
        <f>R37+R37*1%</f>
        <v>3854.2952797968246</v>
      </c>
      <c r="S38" s="2">
        <f t="shared" si="3"/>
        <v>3695.1682368526217</v>
      </c>
      <c r="T38" s="2">
        <f t="shared" si="3"/>
        <v>3536.0411939084174</v>
      </c>
      <c r="U38" s="2">
        <f t="shared" si="3"/>
        <v>3286.7565370175994</v>
      </c>
      <c r="V38" s="2">
        <f t="shared" si="3"/>
        <v>3160.341787248522</v>
      </c>
      <c r="W38" s="2">
        <f t="shared" si="3"/>
        <v>3043.2945874410148</v>
      </c>
      <c r="X38" s="2">
        <f t="shared" si="1"/>
        <v>2926.2339091443514</v>
      </c>
      <c r="Y38" s="2">
        <f t="shared" si="1"/>
        <v>2869.9746954183561</v>
      </c>
      <c r="Z38" s="2">
        <f t="shared" si="1"/>
        <v>2813.7020032032087</v>
      </c>
      <c r="AA38" s="2">
        <f t="shared" si="1"/>
        <v>2759.5858692525908</v>
      </c>
      <c r="AB38" s="2">
        <f t="shared" si="1"/>
        <v>2705.4832137911271</v>
      </c>
      <c r="AC38" s="50">
        <v>30</v>
      </c>
      <c r="AD38" s="2"/>
    </row>
    <row r="39" spans="2:30" ht="15.55" x14ac:dyDescent="0.3">
      <c r="B39" s="49">
        <v>31</v>
      </c>
      <c r="C39" s="2">
        <f t="shared" ref="C39:AB48" si="5">C38+C38*0.75%</f>
        <v>10116.75831821873</v>
      </c>
      <c r="D39" s="2">
        <f t="shared" si="5"/>
        <v>9367.3693161128213</v>
      </c>
      <c r="E39" s="2">
        <f t="shared" si="5"/>
        <v>8721.348060387807</v>
      </c>
      <c r="F39" s="2">
        <f t="shared" si="5"/>
        <v>8075.3132250849803</v>
      </c>
      <c r="G39" s="2">
        <f t="shared" si="5"/>
        <v>7579.4685204932384</v>
      </c>
      <c r="H39" s="2">
        <f t="shared" si="5"/>
        <v>7083.6102363236714</v>
      </c>
      <c r="I39" s="2">
        <f t="shared" si="5"/>
        <v>6676.1414241973689</v>
      </c>
      <c r="J39" s="2">
        <f t="shared" si="5"/>
        <v>6268.6861916488879</v>
      </c>
      <c r="K39" s="2">
        <f t="shared" si="5"/>
        <v>5824.7562130705755</v>
      </c>
      <c r="L39" s="2">
        <f t="shared" si="5"/>
        <v>5380.8398140700738</v>
      </c>
      <c r="M39" s="2">
        <f t="shared" si="5"/>
        <v>5003.2324935743072</v>
      </c>
      <c r="N39" s="2">
        <f t="shared" si="5"/>
        <v>4720.0303980969338</v>
      </c>
      <c r="O39" s="2">
        <f t="shared" si="5"/>
        <v>4495.7636703669514</v>
      </c>
      <c r="P39" s="2">
        <f t="shared" si="5"/>
        <v>4271.524101792611</v>
      </c>
      <c r="Q39" s="2">
        <f t="shared" si="5"/>
        <v>4077.3632980939578</v>
      </c>
      <c r="R39" s="2">
        <f t="shared" si="5"/>
        <v>3883.2024943953006</v>
      </c>
      <c r="S39" s="2">
        <f t="shared" si="5"/>
        <v>3722.8819986290164</v>
      </c>
      <c r="T39" s="2">
        <f t="shared" si="5"/>
        <v>3562.5615028627308</v>
      </c>
      <c r="U39" s="2">
        <f t="shared" si="5"/>
        <v>3311.4072110452312</v>
      </c>
      <c r="V39" s="2">
        <f t="shared" si="5"/>
        <v>3184.0443506528859</v>
      </c>
      <c r="W39" s="2">
        <f t="shared" si="5"/>
        <v>3066.1192968468222</v>
      </c>
      <c r="X39" s="2">
        <f t="shared" si="5"/>
        <v>2948.1806634629338</v>
      </c>
      <c r="Y39" s="2">
        <f t="shared" si="5"/>
        <v>2891.4995056339935</v>
      </c>
      <c r="Z39" s="2">
        <f t="shared" si="5"/>
        <v>2834.8047682272327</v>
      </c>
      <c r="AA39" s="2">
        <f t="shared" si="5"/>
        <v>2780.282763271985</v>
      </c>
      <c r="AB39" s="2">
        <f t="shared" si="5"/>
        <v>2725.7743378945606</v>
      </c>
      <c r="AC39" s="50">
        <v>31</v>
      </c>
      <c r="AD39" s="2"/>
    </row>
    <row r="40" spans="2:30" ht="15.55" x14ac:dyDescent="0.3">
      <c r="B40" s="49">
        <v>32</v>
      </c>
      <c r="C40" s="2">
        <f t="shared" si="5"/>
        <v>10192.63400560537</v>
      </c>
      <c r="D40" s="2">
        <f t="shared" si="5"/>
        <v>9437.6245859836672</v>
      </c>
      <c r="E40" s="2">
        <f t="shared" si="5"/>
        <v>8786.758170840716</v>
      </c>
      <c r="F40" s="2">
        <f t="shared" si="5"/>
        <v>8135.8780742731178</v>
      </c>
      <c r="G40" s="2">
        <f t="shared" si="5"/>
        <v>7636.3145343969381</v>
      </c>
      <c r="H40" s="2">
        <f t="shared" si="5"/>
        <v>7136.7373130960987</v>
      </c>
      <c r="I40" s="2">
        <f t="shared" si="5"/>
        <v>6726.212484878849</v>
      </c>
      <c r="J40" s="2">
        <f t="shared" si="5"/>
        <v>6315.7013380862545</v>
      </c>
      <c r="K40" s="2">
        <f t="shared" si="5"/>
        <v>5868.4418846686049</v>
      </c>
      <c r="L40" s="2">
        <f t="shared" si="5"/>
        <v>5421.1961126755996</v>
      </c>
      <c r="M40" s="2">
        <f t="shared" si="5"/>
        <v>5040.7567372761141</v>
      </c>
      <c r="N40" s="2">
        <f t="shared" si="5"/>
        <v>4755.4306260826606</v>
      </c>
      <c r="O40" s="2">
        <f t="shared" si="5"/>
        <v>4529.4818978947033</v>
      </c>
      <c r="P40" s="2">
        <f t="shared" si="5"/>
        <v>4303.5605325560555</v>
      </c>
      <c r="Q40" s="2">
        <f t="shared" si="5"/>
        <v>4107.9435228296625</v>
      </c>
      <c r="R40" s="2">
        <f t="shared" si="5"/>
        <v>3912.3265131032654</v>
      </c>
      <c r="S40" s="2">
        <f t="shared" si="5"/>
        <v>3750.8036136187338</v>
      </c>
      <c r="T40" s="2">
        <f t="shared" si="5"/>
        <v>3589.2807141342014</v>
      </c>
      <c r="U40" s="2">
        <f t="shared" si="5"/>
        <v>3336.2427651280705</v>
      </c>
      <c r="V40" s="2">
        <f t="shared" si="5"/>
        <v>3207.9246832827826</v>
      </c>
      <c r="W40" s="2">
        <f t="shared" si="5"/>
        <v>3089.1151915731734</v>
      </c>
      <c r="X40" s="2">
        <f t="shared" si="5"/>
        <v>2970.2920184389059</v>
      </c>
      <c r="Y40" s="2">
        <f t="shared" si="5"/>
        <v>2913.1857519262485</v>
      </c>
      <c r="Z40" s="2">
        <f t="shared" si="5"/>
        <v>2856.0658039889368</v>
      </c>
      <c r="AA40" s="2">
        <f t="shared" si="5"/>
        <v>2801.1348839965249</v>
      </c>
      <c r="AB40" s="2">
        <f t="shared" si="5"/>
        <v>2746.2176454287696</v>
      </c>
      <c r="AC40" s="50">
        <v>32</v>
      </c>
      <c r="AD40" s="2"/>
    </row>
    <row r="41" spans="2:30" ht="15.55" x14ac:dyDescent="0.3">
      <c r="B41" s="49">
        <v>33</v>
      </c>
      <c r="C41" s="2">
        <f t="shared" si="5"/>
        <v>10269.078760647411</v>
      </c>
      <c r="D41" s="2">
        <f t="shared" si="5"/>
        <v>9508.406770378544</v>
      </c>
      <c r="E41" s="2">
        <f t="shared" si="5"/>
        <v>8852.6588571220218</v>
      </c>
      <c r="F41" s="2">
        <f t="shared" si="5"/>
        <v>8196.8971598301669</v>
      </c>
      <c r="G41" s="2">
        <f t="shared" si="5"/>
        <v>7693.5868934049149</v>
      </c>
      <c r="H41" s="2">
        <f t="shared" si="5"/>
        <v>7190.2628429443193</v>
      </c>
      <c r="I41" s="2">
        <f t="shared" si="5"/>
        <v>6776.6590785154403</v>
      </c>
      <c r="J41" s="2">
        <f t="shared" si="5"/>
        <v>6363.0690981219013</v>
      </c>
      <c r="K41" s="2">
        <f t="shared" si="5"/>
        <v>5912.4551988036192</v>
      </c>
      <c r="L41" s="2">
        <f t="shared" si="5"/>
        <v>5461.855083520667</v>
      </c>
      <c r="M41" s="2">
        <f t="shared" si="5"/>
        <v>5078.5624128056852</v>
      </c>
      <c r="N41" s="2">
        <f t="shared" si="5"/>
        <v>4791.0963557782807</v>
      </c>
      <c r="O41" s="2">
        <f t="shared" si="5"/>
        <v>4563.4530121289135</v>
      </c>
      <c r="P41" s="2">
        <f t="shared" si="5"/>
        <v>4335.8372365502255</v>
      </c>
      <c r="Q41" s="2">
        <f t="shared" si="5"/>
        <v>4138.7530992508846</v>
      </c>
      <c r="R41" s="2">
        <f t="shared" si="5"/>
        <v>3941.66896195154</v>
      </c>
      <c r="S41" s="2">
        <f t="shared" si="5"/>
        <v>3778.9346407208745</v>
      </c>
      <c r="T41" s="2">
        <f t="shared" si="5"/>
        <v>3616.2003194902077</v>
      </c>
      <c r="U41" s="2">
        <f t="shared" si="5"/>
        <v>3361.264585866531</v>
      </c>
      <c r="V41" s="2">
        <f t="shared" si="5"/>
        <v>3231.9841184074035</v>
      </c>
      <c r="W41" s="2">
        <f t="shared" si="5"/>
        <v>3112.2835555099723</v>
      </c>
      <c r="X41" s="2">
        <f t="shared" si="5"/>
        <v>2992.5692085771975</v>
      </c>
      <c r="Y41" s="2">
        <f t="shared" si="5"/>
        <v>2935.0346450656953</v>
      </c>
      <c r="Z41" s="2">
        <f t="shared" si="5"/>
        <v>2877.4862975188539</v>
      </c>
      <c r="AA41" s="2">
        <f t="shared" si="5"/>
        <v>2822.1433956264987</v>
      </c>
      <c r="AB41" s="2">
        <f t="shared" si="5"/>
        <v>2766.8142777694852</v>
      </c>
      <c r="AC41" s="50">
        <v>33</v>
      </c>
      <c r="AD41" s="2"/>
    </row>
    <row r="42" spans="2:30" ht="15.55" x14ac:dyDescent="0.3">
      <c r="B42" s="49">
        <v>34</v>
      </c>
      <c r="C42" s="2">
        <f t="shared" si="5"/>
        <v>10346.096851352268</v>
      </c>
      <c r="D42" s="2">
        <f t="shared" si="5"/>
        <v>9579.7198211563827</v>
      </c>
      <c r="E42" s="2">
        <f t="shared" si="5"/>
        <v>8919.0537985504361</v>
      </c>
      <c r="F42" s="2">
        <f t="shared" si="5"/>
        <v>8258.3738885288931</v>
      </c>
      <c r="G42" s="2">
        <f t="shared" si="5"/>
        <v>7751.2887951054518</v>
      </c>
      <c r="H42" s="2">
        <f t="shared" si="5"/>
        <v>7244.1898142664013</v>
      </c>
      <c r="I42" s="2">
        <f t="shared" si="5"/>
        <v>6827.4840216043058</v>
      </c>
      <c r="J42" s="2">
        <f t="shared" si="5"/>
        <v>6410.7921163578158</v>
      </c>
      <c r="K42" s="2">
        <f t="shared" si="5"/>
        <v>5956.798612794646</v>
      </c>
      <c r="L42" s="2">
        <f t="shared" si="5"/>
        <v>5502.8189966470718</v>
      </c>
      <c r="M42" s="2">
        <f t="shared" si="5"/>
        <v>5116.6516309017279</v>
      </c>
      <c r="N42" s="2">
        <f t="shared" si="5"/>
        <v>4827.029578446618</v>
      </c>
      <c r="O42" s="2">
        <f t="shared" si="5"/>
        <v>4597.6789097198807</v>
      </c>
      <c r="P42" s="2">
        <f t="shared" si="5"/>
        <v>4368.3560158243517</v>
      </c>
      <c r="Q42" s="2">
        <f t="shared" si="5"/>
        <v>4169.793747495266</v>
      </c>
      <c r="R42" s="2">
        <f t="shared" si="5"/>
        <v>3971.2314791661765</v>
      </c>
      <c r="S42" s="2">
        <f t="shared" si="5"/>
        <v>3807.2766505262812</v>
      </c>
      <c r="T42" s="2">
        <f t="shared" si="5"/>
        <v>3643.3218218863844</v>
      </c>
      <c r="U42" s="2">
        <f t="shared" si="5"/>
        <v>3386.47407026053</v>
      </c>
      <c r="V42" s="2">
        <f t="shared" si="5"/>
        <v>3256.2239992954592</v>
      </c>
      <c r="W42" s="2">
        <f t="shared" si="5"/>
        <v>3135.6256821762972</v>
      </c>
      <c r="X42" s="2">
        <f t="shared" si="5"/>
        <v>3015.0134776415266</v>
      </c>
      <c r="Y42" s="2">
        <f t="shared" si="5"/>
        <v>2957.0474049036879</v>
      </c>
      <c r="Z42" s="2">
        <f t="shared" si="5"/>
        <v>2899.0674447502452</v>
      </c>
      <c r="AA42" s="2">
        <f t="shared" si="5"/>
        <v>2843.3094710936975</v>
      </c>
      <c r="AB42" s="2">
        <f t="shared" si="5"/>
        <v>2787.5653848527563</v>
      </c>
      <c r="AC42" s="50">
        <v>34</v>
      </c>
      <c r="AD42" s="2"/>
    </row>
    <row r="43" spans="2:30" ht="15.55" x14ac:dyDescent="0.3">
      <c r="B43" s="49">
        <v>35</v>
      </c>
      <c r="C43" s="2">
        <f t="shared" si="5"/>
        <v>10423.692577737409</v>
      </c>
      <c r="D43" s="2">
        <f t="shared" si="5"/>
        <v>9651.5677198150552</v>
      </c>
      <c r="E43" s="2">
        <f t="shared" si="5"/>
        <v>8985.9467020395641</v>
      </c>
      <c r="F43" s="2">
        <f t="shared" si="5"/>
        <v>8320.3116926928597</v>
      </c>
      <c r="G43" s="2">
        <f t="shared" si="5"/>
        <v>7809.4234610687427</v>
      </c>
      <c r="H43" s="2">
        <f t="shared" si="5"/>
        <v>7298.5212378733995</v>
      </c>
      <c r="I43" s="2">
        <f t="shared" si="5"/>
        <v>6878.6901517663382</v>
      </c>
      <c r="J43" s="2">
        <f t="shared" si="5"/>
        <v>6458.8730572304994</v>
      </c>
      <c r="K43" s="2">
        <f t="shared" si="5"/>
        <v>6001.4746023906055</v>
      </c>
      <c r="L43" s="2">
        <f t="shared" si="5"/>
        <v>5544.0901391219249</v>
      </c>
      <c r="M43" s="2">
        <f t="shared" si="5"/>
        <v>5155.0265181334908</v>
      </c>
      <c r="N43" s="2">
        <f t="shared" si="5"/>
        <v>4863.232300284968</v>
      </c>
      <c r="O43" s="2">
        <f t="shared" si="5"/>
        <v>4632.1615015427797</v>
      </c>
      <c r="P43" s="2">
        <f t="shared" si="5"/>
        <v>4401.1186859430345</v>
      </c>
      <c r="Q43" s="2">
        <f t="shared" si="5"/>
        <v>4201.0672006014802</v>
      </c>
      <c r="R43" s="2">
        <f t="shared" si="5"/>
        <v>4001.0157152599227</v>
      </c>
      <c r="S43" s="2">
        <f t="shared" si="5"/>
        <v>3835.8312254052285</v>
      </c>
      <c r="T43" s="2">
        <f t="shared" si="5"/>
        <v>3670.6467355505324</v>
      </c>
      <c r="U43" s="2">
        <f t="shared" si="5"/>
        <v>3411.8726257874841</v>
      </c>
      <c r="V43" s="2">
        <f t="shared" si="5"/>
        <v>3280.6456792901749</v>
      </c>
      <c r="W43" s="2">
        <f t="shared" si="5"/>
        <v>3159.1428747926193</v>
      </c>
      <c r="X43" s="2">
        <f t="shared" si="5"/>
        <v>3037.626078723838</v>
      </c>
      <c r="Y43" s="2">
        <f t="shared" si="5"/>
        <v>2979.2252604404657</v>
      </c>
      <c r="Z43" s="2">
        <f t="shared" si="5"/>
        <v>2920.8104505858719</v>
      </c>
      <c r="AA43" s="2">
        <f t="shared" si="5"/>
        <v>2864.6342921269002</v>
      </c>
      <c r="AB43" s="2">
        <f t="shared" si="5"/>
        <v>2808.4721252391519</v>
      </c>
      <c r="AC43" s="50">
        <v>35</v>
      </c>
      <c r="AD43" s="2"/>
    </row>
    <row r="44" spans="2:30" ht="15.55" x14ac:dyDescent="0.3">
      <c r="B44" s="49">
        <v>36</v>
      </c>
      <c r="C44" s="2">
        <f t="shared" si="5"/>
        <v>10501.870272070439</v>
      </c>
      <c r="D44" s="2">
        <f t="shared" si="5"/>
        <v>9723.9544777136689</v>
      </c>
      <c r="E44" s="2">
        <f t="shared" si="5"/>
        <v>9053.3413023048615</v>
      </c>
      <c r="F44" s="2">
        <f t="shared" si="5"/>
        <v>8382.7140303880569</v>
      </c>
      <c r="G44" s="2">
        <f t="shared" si="5"/>
        <v>7867.9941370267579</v>
      </c>
      <c r="H44" s="2">
        <f t="shared" si="5"/>
        <v>7353.2601471574499</v>
      </c>
      <c r="I44" s="2">
        <f t="shared" si="5"/>
        <v>6930.2803279045856</v>
      </c>
      <c r="J44" s="2">
        <f t="shared" si="5"/>
        <v>6507.3146051597278</v>
      </c>
      <c r="K44" s="2">
        <f t="shared" si="5"/>
        <v>6046.4856619085349</v>
      </c>
      <c r="L44" s="2">
        <f t="shared" si="5"/>
        <v>5585.6708151653393</v>
      </c>
      <c r="M44" s="2">
        <f t="shared" si="5"/>
        <v>5193.6892170194915</v>
      </c>
      <c r="N44" s="2">
        <f t="shared" si="5"/>
        <v>4899.7065425371056</v>
      </c>
      <c r="O44" s="2">
        <f t="shared" si="5"/>
        <v>4666.9027128043508</v>
      </c>
      <c r="P44" s="2">
        <f t="shared" si="5"/>
        <v>4434.1270760876068</v>
      </c>
      <c r="Q44" s="2">
        <f t="shared" si="5"/>
        <v>4232.5752046059915</v>
      </c>
      <c r="R44" s="2">
        <f t="shared" si="5"/>
        <v>4031.0233331243721</v>
      </c>
      <c r="S44" s="2">
        <f t="shared" si="5"/>
        <v>3864.5999595957678</v>
      </c>
      <c r="T44" s="2">
        <f t="shared" si="5"/>
        <v>3698.1765860671612</v>
      </c>
      <c r="U44" s="2">
        <f t="shared" si="5"/>
        <v>3437.4616704808905</v>
      </c>
      <c r="V44" s="2">
        <f t="shared" si="5"/>
        <v>3305.2505218848514</v>
      </c>
      <c r="W44" s="2">
        <f t="shared" si="5"/>
        <v>3182.836446353564</v>
      </c>
      <c r="X44" s="2">
        <f t="shared" si="5"/>
        <v>3060.4082743142667</v>
      </c>
      <c r="Y44" s="2">
        <f t="shared" si="5"/>
        <v>3001.5694498937692</v>
      </c>
      <c r="Z44" s="2">
        <f t="shared" si="5"/>
        <v>2942.7165289652658</v>
      </c>
      <c r="AA44" s="2">
        <f t="shared" si="5"/>
        <v>2886.1190493178519</v>
      </c>
      <c r="AB44" s="2">
        <f t="shared" si="5"/>
        <v>2829.5356661784454</v>
      </c>
      <c r="AC44" s="50">
        <v>36</v>
      </c>
      <c r="AD44" s="2"/>
    </row>
    <row r="45" spans="2:30" ht="15.55" x14ac:dyDescent="0.3">
      <c r="B45" s="49">
        <v>37</v>
      </c>
      <c r="C45" s="2">
        <f t="shared" si="5"/>
        <v>10580.634299110967</v>
      </c>
      <c r="D45" s="2">
        <f t="shared" si="5"/>
        <v>9796.8841362965213</v>
      </c>
      <c r="E45" s="2">
        <f t="shared" si="5"/>
        <v>9121.2413620721472</v>
      </c>
      <c r="F45" s="2">
        <f t="shared" si="5"/>
        <v>8445.5843856159681</v>
      </c>
      <c r="G45" s="2">
        <f t="shared" si="5"/>
        <v>7927.0040930544583</v>
      </c>
      <c r="H45" s="2">
        <f t="shared" si="5"/>
        <v>7408.4095982611307</v>
      </c>
      <c r="I45" s="2">
        <f t="shared" si="5"/>
        <v>6982.2574303638703</v>
      </c>
      <c r="J45" s="2">
        <f t="shared" si="5"/>
        <v>6556.1194646984259</v>
      </c>
      <c r="K45" s="2">
        <f t="shared" si="5"/>
        <v>6091.8343043728491</v>
      </c>
      <c r="L45" s="2">
        <f t="shared" si="5"/>
        <v>5627.5633462790793</v>
      </c>
      <c r="M45" s="2">
        <f t="shared" si="5"/>
        <v>5232.6418861471375</v>
      </c>
      <c r="N45" s="2">
        <f t="shared" si="5"/>
        <v>4936.4543416061342</v>
      </c>
      <c r="O45" s="2">
        <f t="shared" si="5"/>
        <v>4701.9044831503834</v>
      </c>
      <c r="P45" s="2">
        <f t="shared" si="5"/>
        <v>4467.3830291582635</v>
      </c>
      <c r="Q45" s="2">
        <f t="shared" si="5"/>
        <v>4264.3195186405364</v>
      </c>
      <c r="R45" s="2">
        <f t="shared" si="5"/>
        <v>4061.2560081228048</v>
      </c>
      <c r="S45" s="2">
        <f t="shared" si="5"/>
        <v>3893.584459292736</v>
      </c>
      <c r="T45" s="2">
        <f t="shared" si="5"/>
        <v>3725.912910462665</v>
      </c>
      <c r="U45" s="2">
        <f t="shared" si="5"/>
        <v>3463.2426330094972</v>
      </c>
      <c r="V45" s="2">
        <f t="shared" si="5"/>
        <v>3330.0399007989877</v>
      </c>
      <c r="W45" s="2">
        <f t="shared" si="5"/>
        <v>3206.7077197012159</v>
      </c>
      <c r="X45" s="2">
        <f t="shared" si="5"/>
        <v>3083.3613363716236</v>
      </c>
      <c r="Y45" s="2">
        <f t="shared" si="5"/>
        <v>3024.0812207679724</v>
      </c>
      <c r="Z45" s="2">
        <f t="shared" si="5"/>
        <v>2964.7869029325052</v>
      </c>
      <c r="AA45" s="2">
        <f t="shared" si="5"/>
        <v>2907.7649421877359</v>
      </c>
      <c r="AB45" s="2">
        <f t="shared" si="5"/>
        <v>2850.7571836747838</v>
      </c>
      <c r="AC45" s="50">
        <v>37</v>
      </c>
      <c r="AD45" s="2"/>
    </row>
    <row r="46" spans="2:30" ht="15.55" x14ac:dyDescent="0.3">
      <c r="B46" s="49">
        <v>38</v>
      </c>
      <c r="C46" s="2">
        <f t="shared" si="5"/>
        <v>10659.989056354299</v>
      </c>
      <c r="D46" s="2">
        <f t="shared" si="5"/>
        <v>9870.3607673187453</v>
      </c>
      <c r="E46" s="2">
        <f t="shared" si="5"/>
        <v>9189.6506722876875</v>
      </c>
      <c r="F46" s="2">
        <f t="shared" si="5"/>
        <v>8508.9262685080885</v>
      </c>
      <c r="G46" s="2">
        <f t="shared" si="5"/>
        <v>7986.4566237523668</v>
      </c>
      <c r="H46" s="2">
        <f t="shared" si="5"/>
        <v>7463.9726702480893</v>
      </c>
      <c r="I46" s="2">
        <f t="shared" si="5"/>
        <v>7034.624361091599</v>
      </c>
      <c r="J46" s="2">
        <f t="shared" si="5"/>
        <v>6605.2903606836644</v>
      </c>
      <c r="K46" s="2">
        <f t="shared" si="5"/>
        <v>6137.5230616556455</v>
      </c>
      <c r="L46" s="2">
        <f t="shared" si="5"/>
        <v>5669.7700713761724</v>
      </c>
      <c r="M46" s="2">
        <f t="shared" si="5"/>
        <v>5271.8867002932411</v>
      </c>
      <c r="N46" s="2">
        <f t="shared" si="5"/>
        <v>4973.4777491681798</v>
      </c>
      <c r="O46" s="2">
        <f t="shared" si="5"/>
        <v>4737.1687667740116</v>
      </c>
      <c r="P46" s="2">
        <f t="shared" si="5"/>
        <v>4500.8884018769504</v>
      </c>
      <c r="Q46" s="2">
        <f t="shared" si="5"/>
        <v>4296.3019150303408</v>
      </c>
      <c r="R46" s="2">
        <f t="shared" si="5"/>
        <v>4091.7154281837256</v>
      </c>
      <c r="S46" s="2">
        <f t="shared" si="5"/>
        <v>3922.7863427374314</v>
      </c>
      <c r="T46" s="2">
        <f t="shared" si="5"/>
        <v>3753.8572572911348</v>
      </c>
      <c r="U46" s="2">
        <f t="shared" si="5"/>
        <v>3489.2169527570686</v>
      </c>
      <c r="V46" s="2">
        <f t="shared" si="5"/>
        <v>3355.0152000549801</v>
      </c>
      <c r="W46" s="2">
        <f t="shared" si="5"/>
        <v>3230.7580275989749</v>
      </c>
      <c r="X46" s="2">
        <f t="shared" si="5"/>
        <v>3106.4865463944107</v>
      </c>
      <c r="Y46" s="2">
        <f t="shared" si="5"/>
        <v>3046.761829923732</v>
      </c>
      <c r="Z46" s="2">
        <f t="shared" si="5"/>
        <v>2987.0228047044989</v>
      </c>
      <c r="AA46" s="2">
        <f t="shared" si="5"/>
        <v>2929.5731792541437</v>
      </c>
      <c r="AB46" s="2">
        <f t="shared" si="5"/>
        <v>2872.1378625523448</v>
      </c>
      <c r="AC46" s="50">
        <v>38</v>
      </c>
      <c r="AD46" s="2"/>
    </row>
    <row r="47" spans="2:30" ht="15.55" x14ac:dyDescent="0.3">
      <c r="B47" s="49">
        <v>39</v>
      </c>
      <c r="C47" s="2">
        <f t="shared" si="5"/>
        <v>10739.938974276956</v>
      </c>
      <c r="D47" s="2">
        <f t="shared" si="5"/>
        <v>9944.3884730736354</v>
      </c>
      <c r="E47" s="2">
        <f t="shared" si="5"/>
        <v>9258.5730523298444</v>
      </c>
      <c r="F47" s="2">
        <f t="shared" si="5"/>
        <v>8572.7432155218994</v>
      </c>
      <c r="G47" s="2">
        <f t="shared" si="5"/>
        <v>8046.3550484305097</v>
      </c>
      <c r="H47" s="2">
        <f t="shared" si="5"/>
        <v>7519.9524652749496</v>
      </c>
      <c r="I47" s="2">
        <f t="shared" si="5"/>
        <v>7087.384043799786</v>
      </c>
      <c r="J47" s="2">
        <f t="shared" si="5"/>
        <v>6654.8300383887918</v>
      </c>
      <c r="K47" s="2">
        <f t="shared" si="5"/>
        <v>6183.5544846180628</v>
      </c>
      <c r="L47" s="2">
        <f t="shared" si="5"/>
        <v>5712.2933469114932</v>
      </c>
      <c r="M47" s="2">
        <f t="shared" si="5"/>
        <v>5311.42585054544</v>
      </c>
      <c r="N47" s="2">
        <f t="shared" si="5"/>
        <v>5010.778832286941</v>
      </c>
      <c r="O47" s="2">
        <f t="shared" si="5"/>
        <v>4772.6975325248168</v>
      </c>
      <c r="P47" s="2">
        <f t="shared" si="5"/>
        <v>4534.6450648910277</v>
      </c>
      <c r="Q47" s="2">
        <f t="shared" si="5"/>
        <v>4328.5241793930682</v>
      </c>
      <c r="R47" s="2">
        <f t="shared" si="5"/>
        <v>4122.4032938951032</v>
      </c>
      <c r="S47" s="2">
        <f t="shared" si="5"/>
        <v>3952.2072403079619</v>
      </c>
      <c r="T47" s="2">
        <f t="shared" si="5"/>
        <v>3782.0111867208184</v>
      </c>
      <c r="U47" s="2">
        <f t="shared" si="5"/>
        <v>3515.3860799027466</v>
      </c>
      <c r="V47" s="2">
        <f t="shared" si="5"/>
        <v>3380.1778140553924</v>
      </c>
      <c r="W47" s="2">
        <f t="shared" si="5"/>
        <v>3254.9887128059672</v>
      </c>
      <c r="X47" s="2">
        <f t="shared" si="5"/>
        <v>3129.7851954923685</v>
      </c>
      <c r="Y47" s="2">
        <f t="shared" si="5"/>
        <v>3069.6125436481598</v>
      </c>
      <c r="Z47" s="2">
        <f t="shared" si="5"/>
        <v>3009.4254757397825</v>
      </c>
      <c r="AA47" s="2">
        <f t="shared" si="5"/>
        <v>2951.54497809855</v>
      </c>
      <c r="AB47" s="2">
        <f t="shared" si="5"/>
        <v>2893.6788965214873</v>
      </c>
      <c r="AC47" s="50">
        <v>39</v>
      </c>
      <c r="AD47" s="2"/>
    </row>
    <row r="48" spans="2:30" ht="15.55" x14ac:dyDescent="0.3">
      <c r="B48" s="49">
        <v>40</v>
      </c>
      <c r="C48" s="3">
        <f t="shared" si="5"/>
        <v>10820.488516584033</v>
      </c>
      <c r="D48" s="2">
        <f t="shared" si="5"/>
        <v>10018.971386621688</v>
      </c>
      <c r="E48" s="2">
        <f t="shared" si="5"/>
        <v>9328.0123502223178</v>
      </c>
      <c r="F48" s="2">
        <f t="shared" si="5"/>
        <v>8637.0387896383145</v>
      </c>
      <c r="G48" s="2">
        <f t="shared" si="5"/>
        <v>8106.7027112937385</v>
      </c>
      <c r="H48" s="2">
        <f t="shared" si="5"/>
        <v>7576.3521087645122</v>
      </c>
      <c r="I48" s="2">
        <f t="shared" si="5"/>
        <v>7140.5394241282847</v>
      </c>
      <c r="J48" s="2">
        <f t="shared" si="5"/>
        <v>6704.7412636767076</v>
      </c>
      <c r="K48" s="2">
        <f t="shared" si="5"/>
        <v>6229.9311432526983</v>
      </c>
      <c r="L48" s="2">
        <f t="shared" si="5"/>
        <v>5755.1355470133294</v>
      </c>
      <c r="M48" s="2">
        <f t="shared" si="5"/>
        <v>5351.2615444245312</v>
      </c>
      <c r="N48" s="2">
        <f t="shared" si="5"/>
        <v>5048.359673529093</v>
      </c>
      <c r="O48" s="2">
        <f t="shared" si="5"/>
        <v>4808.4927640187525</v>
      </c>
      <c r="P48" s="2">
        <f t="shared" si="5"/>
        <v>4568.6549028777108</v>
      </c>
      <c r="Q48" s="2">
        <f t="shared" si="5"/>
        <v>4360.9881107385163</v>
      </c>
      <c r="R48" s="2">
        <f t="shared" si="5"/>
        <v>4153.3213185993163</v>
      </c>
      <c r="S48" s="2">
        <f t="shared" si="5"/>
        <v>3981.8487946102714</v>
      </c>
      <c r="T48" s="2">
        <f t="shared" si="5"/>
        <v>3810.3762706212246</v>
      </c>
      <c r="U48" s="2">
        <f t="shared" si="5"/>
        <v>3541.751475502017</v>
      </c>
      <c r="V48" s="2">
        <f t="shared" si="5"/>
        <v>3405.5291476608077</v>
      </c>
      <c r="W48" s="2">
        <f t="shared" si="5"/>
        <v>3279.401128152012</v>
      </c>
      <c r="X48" s="2">
        <f>X47+X47*0.75%</f>
        <v>3153.2585844585615</v>
      </c>
      <c r="Y48" s="2">
        <f>Y47+Y47*0.75%</f>
        <v>3092.6346377255209</v>
      </c>
      <c r="Z48" s="2">
        <f>Z47+Z47*0.75%</f>
        <v>3031.9961668078308</v>
      </c>
      <c r="AA48" s="2">
        <f>AA47+AA47*0.75%</f>
        <v>2973.681565434289</v>
      </c>
      <c r="AB48" s="2">
        <f>AB47+AB47*0.75%</f>
        <v>2915.3814882453985</v>
      </c>
      <c r="AC48" s="50">
        <v>40</v>
      </c>
      <c r="AD48" s="2"/>
    </row>
    <row r="49" spans="1:30" ht="15.55" x14ac:dyDescent="0.3">
      <c r="B49" s="5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52"/>
      <c r="AD49" s="2"/>
    </row>
    <row r="50" spans="1:30" ht="15.55" x14ac:dyDescent="0.3">
      <c r="B50" s="53"/>
      <c r="C50" s="46" t="s">
        <v>27</v>
      </c>
      <c r="D50" s="46">
        <v>46</v>
      </c>
      <c r="E50" s="46" t="s">
        <v>28</v>
      </c>
      <c r="F50" s="46">
        <v>45</v>
      </c>
      <c r="G50" s="46" t="s">
        <v>29</v>
      </c>
      <c r="H50" s="46">
        <v>44</v>
      </c>
      <c r="I50" s="46" t="s">
        <v>30</v>
      </c>
      <c r="J50" s="46">
        <v>43</v>
      </c>
      <c r="K50" s="46" t="s">
        <v>31</v>
      </c>
      <c r="L50" s="46">
        <v>42</v>
      </c>
      <c r="M50" s="46" t="s">
        <v>32</v>
      </c>
      <c r="N50" s="46">
        <v>41</v>
      </c>
      <c r="O50" s="46" t="s">
        <v>33</v>
      </c>
      <c r="P50" s="46">
        <v>40</v>
      </c>
      <c r="Q50" s="46" t="s">
        <v>34</v>
      </c>
      <c r="R50" s="46">
        <v>39</v>
      </c>
      <c r="S50" s="46" t="s">
        <v>35</v>
      </c>
      <c r="T50" s="46">
        <v>38</v>
      </c>
      <c r="U50" s="46" t="s">
        <v>36</v>
      </c>
      <c r="V50" s="46">
        <v>37</v>
      </c>
      <c r="W50" s="46" t="s">
        <v>37</v>
      </c>
      <c r="X50" s="46">
        <v>36</v>
      </c>
      <c r="Y50" s="46" t="s">
        <v>38</v>
      </c>
      <c r="Z50" s="46">
        <v>35</v>
      </c>
      <c r="AA50" s="46" t="s">
        <v>39</v>
      </c>
      <c r="AB50" s="46">
        <v>34</v>
      </c>
      <c r="AC50" s="2"/>
      <c r="AD50" s="2"/>
    </row>
    <row r="51" spans="1:30" x14ac:dyDescent="0.25">
      <c r="A51" s="55" t="s">
        <v>41</v>
      </c>
      <c r="B51" s="54" t="s">
        <v>40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25">
      <c r="B52" s="2">
        <v>1.22</v>
      </c>
      <c r="C52" s="2">
        <f t="shared" ref="C52:H52" si="6">C48*$B52</f>
        <v>13200.995990232521</v>
      </c>
      <c r="D52" s="2">
        <f t="shared" si="6"/>
        <v>12223.14509167846</v>
      </c>
      <c r="E52" s="2">
        <f t="shared" si="6"/>
        <v>11380.175067271228</v>
      </c>
      <c r="F52" s="2">
        <f t="shared" si="6"/>
        <v>10537.187323358743</v>
      </c>
      <c r="G52" s="2">
        <f t="shared" si="6"/>
        <v>9890.17730777836</v>
      </c>
      <c r="H52" s="2">
        <f t="shared" si="6"/>
        <v>9243.1495726927042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25">
      <c r="B53" s="2">
        <v>1.036</v>
      </c>
      <c r="C53" s="2">
        <f t="shared" ref="C53:H55" si="7">C52*$B53</f>
        <v>13676.231845880891</v>
      </c>
      <c r="D53" s="2">
        <f t="shared" si="7"/>
        <v>12663.178314978884</v>
      </c>
      <c r="E53" s="2">
        <f t="shared" si="7"/>
        <v>11789.861369692992</v>
      </c>
      <c r="F53" s="2">
        <f t="shared" si="7"/>
        <v>10916.526066999659</v>
      </c>
      <c r="G53" s="2">
        <f t="shared" si="7"/>
        <v>10246.223690858382</v>
      </c>
      <c r="H53" s="2">
        <f t="shared" si="7"/>
        <v>9575.9029573096414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25">
      <c r="B54" s="2">
        <v>1.0469999999999999</v>
      </c>
      <c r="C54" s="2">
        <f t="shared" si="7"/>
        <v>14319.014742637291</v>
      </c>
      <c r="D54" s="2">
        <f t="shared" si="7"/>
        <v>13258.347695782892</v>
      </c>
      <c r="E54" s="2">
        <f t="shared" si="7"/>
        <v>12343.984854068562</v>
      </c>
      <c r="F54" s="2">
        <f t="shared" si="7"/>
        <v>11429.602792148642</v>
      </c>
      <c r="G54" s="2">
        <f t="shared" si="7"/>
        <v>10727.796204328724</v>
      </c>
      <c r="H54" s="2">
        <f t="shared" si="7"/>
        <v>10025.970396303193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25">
      <c r="A55" s="5">
        <v>2012</v>
      </c>
      <c r="B55" s="2">
        <v>1.04</v>
      </c>
      <c r="C55" s="3">
        <f t="shared" si="7"/>
        <v>14891.775332342784</v>
      </c>
      <c r="D55" s="2">
        <f t="shared" si="7"/>
        <v>13788.681603614208</v>
      </c>
      <c r="E55" s="2">
        <f t="shared" si="7"/>
        <v>12837.744248231305</v>
      </c>
      <c r="F55" s="2">
        <f t="shared" si="7"/>
        <v>11886.786903834589</v>
      </c>
      <c r="G55" s="2">
        <f t="shared" si="7"/>
        <v>11156.908052501874</v>
      </c>
      <c r="H55" s="2">
        <f t="shared" si="7"/>
        <v>10427.009212155321</v>
      </c>
      <c r="I55" s="2"/>
      <c r="J55" s="2"/>
      <c r="K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8" spans="1:30" x14ac:dyDescent="0.25">
      <c r="A58" s="5">
        <v>2019</v>
      </c>
      <c r="B58" s="59">
        <v>0.49590000000000001</v>
      </c>
      <c r="C58" s="3">
        <f t="shared" ref="C58:H58" si="8">C48+(C48*$B$58)</f>
        <v>16186.368771958056</v>
      </c>
      <c r="D58" s="2">
        <f t="shared" si="8"/>
        <v>14987.379297247382</v>
      </c>
      <c r="E58" s="2">
        <f t="shared" si="8"/>
        <v>13953.773674697564</v>
      </c>
      <c r="F58" s="2">
        <f t="shared" si="8"/>
        <v>12920.146325419955</v>
      </c>
      <c r="G58" s="2">
        <f t="shared" si="8"/>
        <v>12126.816585824303</v>
      </c>
      <c r="H58" s="2">
        <f t="shared" si="8"/>
        <v>11333.465119500834</v>
      </c>
    </row>
    <row r="59" spans="1:30" x14ac:dyDescent="0.25">
      <c r="C59" t="s">
        <v>0</v>
      </c>
      <c r="H59" t="s">
        <v>0</v>
      </c>
      <c r="L59" s="2">
        <f>G48</f>
        <v>8106.7027112937385</v>
      </c>
    </row>
    <row r="60" spans="1:30" x14ac:dyDescent="0.25">
      <c r="A60" s="3"/>
      <c r="L60" s="57">
        <v>0.33360000000000001</v>
      </c>
    </row>
    <row r="61" spans="1:30" x14ac:dyDescent="0.25">
      <c r="L61">
        <f>L59*L60</f>
        <v>2704.3960244875911</v>
      </c>
    </row>
    <row r="62" spans="1:30" x14ac:dyDescent="0.25">
      <c r="L62">
        <v>1341</v>
      </c>
    </row>
    <row r="63" spans="1:30" x14ac:dyDescent="0.25">
      <c r="L63" s="58">
        <f>L62/L61</f>
        <v>0.49585932972005559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48E3-B1A1-4951-BFCB-564886A9B330}">
  <dimension ref="A1:X117"/>
  <sheetViews>
    <sheetView rightToLeft="1" tabSelected="1" topLeftCell="A6" workbookViewId="0">
      <selection activeCell="Q9" sqref="Q9"/>
    </sheetView>
  </sheetViews>
  <sheetFormatPr defaultRowHeight="12.7" x14ac:dyDescent="0.25"/>
  <cols>
    <col min="1" max="1" width="11" customWidth="1"/>
    <col min="2" max="2" width="8.88671875" customWidth="1"/>
    <col min="4" max="4" width="14.33203125" bestFit="1" customWidth="1"/>
    <col min="5" max="5" width="12" bestFit="1" customWidth="1"/>
    <col min="6" max="6" width="9.6640625" customWidth="1"/>
    <col min="7" max="7" width="10.33203125" customWidth="1"/>
    <col min="8" max="8" width="1.44140625" customWidth="1"/>
    <col min="9" max="9" width="8.44140625" customWidth="1"/>
    <col min="10" max="10" width="9.6640625" customWidth="1"/>
    <col min="11" max="11" width="2.88671875" customWidth="1"/>
    <col min="12" max="12" width="10.33203125" customWidth="1"/>
    <col min="13" max="13" width="2.5546875" customWidth="1"/>
    <col min="14" max="14" width="8.44140625" customWidth="1"/>
    <col min="15" max="15" width="10.109375" customWidth="1"/>
    <col min="16" max="16" width="2.5546875" customWidth="1"/>
    <col min="17" max="17" width="9.44140625" customWidth="1"/>
  </cols>
  <sheetData>
    <row r="1" spans="1:24" s="13" customFormat="1" ht="15.55" x14ac:dyDescent="0.3">
      <c r="F1" s="13" t="s">
        <v>46</v>
      </c>
      <c r="J1" s="22"/>
    </row>
    <row r="2" spans="1:24" s="13" customFormat="1" ht="15.55" x14ac:dyDescent="0.3">
      <c r="F2" s="5"/>
    </row>
    <row r="3" spans="1:24" s="13" customFormat="1" ht="15.55" x14ac:dyDescent="0.3">
      <c r="H3" s="13" t="s">
        <v>11</v>
      </c>
    </row>
    <row r="4" spans="1:24" ht="13.25" thickBot="1" x14ac:dyDescent="0.3"/>
    <row r="5" spans="1:24" ht="16.149999999999999" thickBot="1" x14ac:dyDescent="0.35">
      <c r="G5" s="181"/>
      <c r="H5" s="183"/>
      <c r="I5" s="294" t="s">
        <v>4</v>
      </c>
      <c r="J5" s="299" t="s">
        <v>1</v>
      </c>
      <c r="R5" s="13"/>
    </row>
    <row r="6" spans="1:24" x14ac:dyDescent="0.25">
      <c r="G6" s="297" t="s">
        <v>2</v>
      </c>
      <c r="H6" s="209"/>
      <c r="I6" s="295">
        <f>Q9</f>
        <v>22.33</v>
      </c>
      <c r="J6" s="292">
        <f>+Q10</f>
        <v>42825</v>
      </c>
    </row>
    <row r="7" spans="1:24" ht="13.25" thickBot="1" x14ac:dyDescent="0.3">
      <c r="G7" s="298" t="s">
        <v>3</v>
      </c>
      <c r="H7" s="184"/>
      <c r="I7" s="296">
        <f>+L9</f>
        <v>20.329999999999998</v>
      </c>
      <c r="J7" s="293">
        <f>+L10</f>
        <v>13905</v>
      </c>
      <c r="L7" s="6" t="s">
        <v>120</v>
      </c>
    </row>
    <row r="8" spans="1:24" ht="12.1" customHeight="1" x14ac:dyDescent="0.25">
      <c r="E8" s="180"/>
      <c r="F8" s="180"/>
      <c r="G8" s="180"/>
      <c r="H8" s="180"/>
      <c r="I8" s="180"/>
      <c r="J8" s="180"/>
      <c r="K8" s="72"/>
      <c r="L8" s="180"/>
      <c r="M8" s="180"/>
      <c r="N8" s="180"/>
      <c r="O8" s="180"/>
      <c r="P8" s="180"/>
      <c r="Q8" s="180"/>
      <c r="R8" s="72"/>
      <c r="S8" s="273"/>
    </row>
    <row r="9" spans="1:24" x14ac:dyDescent="0.25">
      <c r="K9" s="243" t="s">
        <v>121</v>
      </c>
      <c r="L9" s="329">
        <v>20.329999999999998</v>
      </c>
      <c r="P9" s="243" t="s">
        <v>122</v>
      </c>
      <c r="Q9" s="329">
        <v>22.33</v>
      </c>
      <c r="S9" s="276"/>
    </row>
    <row r="10" spans="1:24" ht="13.25" thickBot="1" x14ac:dyDescent="0.3">
      <c r="D10" s="247" t="s">
        <v>112</v>
      </c>
      <c r="I10" s="5"/>
      <c r="K10" s="198" t="s">
        <v>51</v>
      </c>
      <c r="L10" s="251">
        <v>13905</v>
      </c>
      <c r="P10" s="198" t="s">
        <v>113</v>
      </c>
      <c r="Q10" s="251">
        <v>42825</v>
      </c>
      <c r="S10" s="278"/>
      <c r="T10" s="72"/>
      <c r="U10" s="72"/>
      <c r="V10" s="72"/>
      <c r="W10" s="72"/>
      <c r="X10" s="72"/>
    </row>
    <row r="11" spans="1:24" ht="17.850000000000001" x14ac:dyDescent="0.35">
      <c r="B11" s="181"/>
      <c r="C11" s="182"/>
      <c r="D11" s="323">
        <v>0.02</v>
      </c>
      <c r="E11" s="19"/>
      <c r="F11" s="232" t="s">
        <v>99</v>
      </c>
      <c r="G11" s="233"/>
      <c r="H11" s="5" t="s">
        <v>95</v>
      </c>
      <c r="I11" s="244" t="s">
        <v>111</v>
      </c>
      <c r="J11" s="257" t="s">
        <v>92</v>
      </c>
      <c r="K11" s="225" t="s">
        <v>89</v>
      </c>
      <c r="L11" s="234" t="s">
        <v>51</v>
      </c>
      <c r="M11" s="175" t="s">
        <v>90</v>
      </c>
      <c r="N11" s="224"/>
      <c r="O11" s="32" t="s">
        <v>83</v>
      </c>
      <c r="P11" s="225" t="s">
        <v>89</v>
      </c>
      <c r="Q11" s="234" t="s">
        <v>91</v>
      </c>
      <c r="S11" s="282"/>
      <c r="T11" s="72"/>
      <c r="U11" s="72"/>
      <c r="V11" s="72"/>
      <c r="W11" s="72"/>
      <c r="X11" s="72"/>
    </row>
    <row r="12" spans="1:24" x14ac:dyDescent="0.25">
      <c r="A12" s="204" t="s">
        <v>0</v>
      </c>
      <c r="B12" s="307"/>
      <c r="C12" s="72"/>
      <c r="D12" s="324">
        <v>0.7</v>
      </c>
      <c r="E12" s="72"/>
      <c r="F12" s="194" t="s">
        <v>100</v>
      </c>
      <c r="G12" s="234" t="s">
        <v>2</v>
      </c>
      <c r="I12" s="123" t="s">
        <v>106</v>
      </c>
      <c r="J12" s="260" t="s">
        <v>65</v>
      </c>
      <c r="K12" s="72"/>
      <c r="L12" s="231"/>
      <c r="N12" s="212"/>
      <c r="O12" s="194" t="s">
        <v>65</v>
      </c>
      <c r="P12" s="72"/>
      <c r="Q12" s="226" t="s">
        <v>93</v>
      </c>
      <c r="S12" s="137"/>
      <c r="T12" s="72"/>
      <c r="U12" s="146"/>
      <c r="V12" s="72"/>
      <c r="W12" s="269"/>
      <c r="X12" s="270"/>
    </row>
    <row r="13" spans="1:24" ht="18.45" thickBot="1" x14ac:dyDescent="0.4">
      <c r="B13" s="325"/>
      <c r="C13" s="238" t="s">
        <v>88</v>
      </c>
      <c r="D13" s="310">
        <f>(E13* D12)</f>
        <v>20330.042897327705</v>
      </c>
      <c r="E13" s="321">
        <f>G13+F13</f>
        <v>29042.918424753865</v>
      </c>
      <c r="F13" s="151">
        <f>L13*J13/J14</f>
        <v>6626.5506329113923</v>
      </c>
      <c r="G13" s="230">
        <f>Q13*O13/J14</f>
        <v>22416.367791842473</v>
      </c>
      <c r="I13" s="246">
        <f>J13/J14</f>
        <v>0.47655883731833099</v>
      </c>
      <c r="J13" s="256">
        <f>L9</f>
        <v>20.329999999999998</v>
      </c>
      <c r="K13" s="229" t="s">
        <v>89</v>
      </c>
      <c r="L13" s="230">
        <f>+J7</f>
        <v>13905</v>
      </c>
      <c r="M13" s="175" t="s">
        <v>90</v>
      </c>
      <c r="N13" s="228">
        <f>O13/O14</f>
        <v>0.52344116268166896</v>
      </c>
      <c r="O13" s="258">
        <f>Q9</f>
        <v>22.33</v>
      </c>
      <c r="P13" s="229" t="s">
        <v>89</v>
      </c>
      <c r="Q13" s="230">
        <f>+J6</f>
        <v>42825</v>
      </c>
      <c r="S13" s="137"/>
      <c r="T13" s="272"/>
      <c r="U13" s="272"/>
      <c r="V13" s="272"/>
      <c r="W13" s="272"/>
      <c r="X13" s="272"/>
    </row>
    <row r="14" spans="1:24" ht="16.149999999999999" thickBot="1" x14ac:dyDescent="0.35">
      <c r="B14" s="326"/>
      <c r="C14" s="327" t="s">
        <v>119</v>
      </c>
      <c r="D14" s="328">
        <f>D13/O14/E13</f>
        <v>1.6408813877168308E-2</v>
      </c>
      <c r="E14" s="322" t="s">
        <v>0</v>
      </c>
      <c r="F14" s="188"/>
      <c r="G14" s="86"/>
      <c r="I14" s="210"/>
      <c r="J14" s="242">
        <f>Q9+I7</f>
        <v>42.66</v>
      </c>
      <c r="K14" s="188"/>
      <c r="L14" s="86"/>
      <c r="N14" s="187"/>
      <c r="O14" s="242">
        <f>Q9+I7</f>
        <v>42.66</v>
      </c>
      <c r="P14" s="188"/>
      <c r="Q14" s="86"/>
      <c r="S14" s="137"/>
      <c r="T14" s="274"/>
      <c r="U14" s="146"/>
      <c r="V14" s="275"/>
      <c r="W14" s="275"/>
      <c r="X14" s="275"/>
    </row>
    <row r="15" spans="1:24" x14ac:dyDescent="0.25">
      <c r="A15" s="72"/>
      <c r="B15" s="72"/>
      <c r="C15" s="72"/>
      <c r="D15" s="72"/>
      <c r="E15" s="72" t="s">
        <v>0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137"/>
      <c r="T15" s="276"/>
      <c r="U15" s="277"/>
      <c r="V15" s="275"/>
      <c r="W15" s="275"/>
      <c r="X15" s="275"/>
    </row>
    <row r="16" spans="1:24" ht="13.85" x14ac:dyDescent="0.25">
      <c r="A16" s="72"/>
      <c r="B16" s="181"/>
      <c r="C16" s="182"/>
      <c r="D16" s="182"/>
      <c r="E16" s="181"/>
      <c r="F16" s="182"/>
      <c r="G16" s="183"/>
      <c r="H16" s="182"/>
      <c r="I16" s="181"/>
      <c r="J16" s="305" t="s">
        <v>92</v>
      </c>
      <c r="K16" s="182"/>
      <c r="L16" s="183"/>
      <c r="M16" s="182"/>
      <c r="N16" s="181"/>
      <c r="O16" s="306" t="s">
        <v>104</v>
      </c>
      <c r="P16" s="182"/>
      <c r="Q16" s="183"/>
      <c r="R16" s="72"/>
      <c r="S16" s="137"/>
      <c r="T16" s="276"/>
      <c r="U16" s="279"/>
      <c r="V16" s="280"/>
      <c r="W16" s="280"/>
      <c r="X16" s="281"/>
    </row>
    <row r="17" spans="1:24" ht="13.25" thickBot="1" x14ac:dyDescent="0.3">
      <c r="A17" s="72"/>
      <c r="B17" s="307"/>
      <c r="C17" s="72"/>
      <c r="D17" s="72"/>
      <c r="E17" s="307"/>
      <c r="F17" s="72"/>
      <c r="G17" s="209"/>
      <c r="H17" s="72"/>
      <c r="I17" s="307"/>
      <c r="J17" s="259" t="s">
        <v>6</v>
      </c>
      <c r="K17" s="72"/>
      <c r="L17" s="209"/>
      <c r="M17" s="72"/>
      <c r="N17" s="307"/>
      <c r="O17" s="253" t="s">
        <v>6</v>
      </c>
      <c r="P17" s="72"/>
      <c r="Q17" s="209"/>
      <c r="R17" s="72"/>
      <c r="S17" s="137"/>
      <c r="T17" s="283"/>
      <c r="U17" s="146"/>
      <c r="V17" s="284"/>
      <c r="W17" s="285"/>
      <c r="X17" s="285"/>
    </row>
    <row r="18" spans="1:24" ht="13.85" x14ac:dyDescent="0.25">
      <c r="A18" s="72"/>
      <c r="B18" s="307"/>
      <c r="C18" s="72"/>
      <c r="D18" s="266" t="s">
        <v>0</v>
      </c>
      <c r="E18" s="307"/>
      <c r="F18" s="72"/>
      <c r="G18" s="209"/>
      <c r="H18" s="72"/>
      <c r="I18" s="307"/>
      <c r="J18" s="163" t="s">
        <v>0</v>
      </c>
      <c r="K18" s="72"/>
      <c r="L18" s="209"/>
      <c r="M18" s="72"/>
      <c r="N18" s="307"/>
      <c r="O18" s="268"/>
      <c r="P18" s="72"/>
      <c r="Q18" s="209"/>
      <c r="R18" s="72"/>
      <c r="S18" s="137"/>
      <c r="T18" s="283"/>
      <c r="U18" s="146"/>
      <c r="V18" s="140"/>
      <c r="W18" s="140"/>
      <c r="X18" s="140"/>
    </row>
    <row r="19" spans="1:24" ht="18.45" thickBot="1" x14ac:dyDescent="0.4">
      <c r="B19" s="307"/>
      <c r="C19" s="239" t="s">
        <v>108</v>
      </c>
      <c r="D19" s="151">
        <f>((Q19*O19)+(L19*J19))*D11</f>
        <v>22649.171999999999</v>
      </c>
      <c r="E19" s="315">
        <f>((Q19*O19)+(J19*L19))/(O13+J13)</f>
        <v>26546.146272855134</v>
      </c>
      <c r="F19" s="308">
        <f>(L19*J19)/(O19+J19)</f>
        <v>5033.6100000000006</v>
      </c>
      <c r="G19" s="310">
        <f>Q19*O19/(O19+J19)</f>
        <v>27322.349999999995</v>
      </c>
      <c r="H19" s="72"/>
      <c r="I19" s="316">
        <f>J19/(J19+O19)</f>
        <v>0.36200000000000004</v>
      </c>
      <c r="J19" s="317">
        <f>IF((L9+Q9)&lt;=35,L9,(35-Q9))</f>
        <v>12.670000000000002</v>
      </c>
      <c r="K19" s="318" t="s">
        <v>89</v>
      </c>
      <c r="L19" s="319">
        <f>J7</f>
        <v>13905</v>
      </c>
      <c r="M19" s="309" t="s">
        <v>90</v>
      </c>
      <c r="N19" s="320">
        <f>O19/(O19+J19)</f>
        <v>0.6379999999999999</v>
      </c>
      <c r="O19" s="241">
        <f>Q9</f>
        <v>22.33</v>
      </c>
      <c r="P19" s="152" t="s">
        <v>89</v>
      </c>
      <c r="Q19" s="310">
        <f>+J6</f>
        <v>42825</v>
      </c>
      <c r="S19" s="137"/>
      <c r="T19" s="283"/>
      <c r="U19" s="146"/>
      <c r="V19" s="140"/>
      <c r="W19" s="140"/>
      <c r="X19" s="140"/>
    </row>
    <row r="20" spans="1:24" ht="15.55" x14ac:dyDescent="0.3">
      <c r="B20" s="312"/>
      <c r="C20" s="313" t="s">
        <v>119</v>
      </c>
      <c r="D20" s="314">
        <f>D19/(Q9+L9)/E19</f>
        <v>0.02</v>
      </c>
      <c r="E20" s="148"/>
      <c r="F20" s="180"/>
      <c r="G20" s="184"/>
      <c r="H20" s="180"/>
      <c r="I20" s="180"/>
      <c r="J20" s="180"/>
      <c r="K20" s="180"/>
      <c r="L20" s="180"/>
      <c r="M20" s="180"/>
      <c r="N20" s="148"/>
      <c r="O20" s="311" t="s">
        <v>0</v>
      </c>
      <c r="P20" s="180"/>
      <c r="Q20" s="184"/>
      <c r="S20" s="137"/>
      <c r="T20" s="127"/>
      <c r="U20" s="146"/>
      <c r="V20" s="140"/>
      <c r="W20" s="140"/>
      <c r="X20" s="140"/>
    </row>
    <row r="21" spans="1:24" ht="13.85" x14ac:dyDescent="0.25">
      <c r="J21" s="177"/>
      <c r="L21" s="61"/>
      <c r="O21" s="177"/>
      <c r="S21" s="137"/>
      <c r="T21" s="127"/>
      <c r="U21" s="146"/>
      <c r="V21" s="140"/>
      <c r="W21" s="140"/>
      <c r="X21" s="140"/>
    </row>
    <row r="22" spans="1:24" ht="13.85" x14ac:dyDescent="0.25">
      <c r="S22" s="137"/>
      <c r="T22" s="127"/>
      <c r="U22" s="146"/>
      <c r="V22" s="140"/>
      <c r="W22" s="140"/>
      <c r="X22" s="140"/>
    </row>
    <row r="23" spans="1:24" ht="13.85" x14ac:dyDescent="0.25">
      <c r="S23" s="137"/>
      <c r="T23" s="127"/>
      <c r="U23" s="146"/>
      <c r="V23" s="140"/>
      <c r="W23" s="140"/>
      <c r="X23" s="140"/>
    </row>
    <row r="24" spans="1:24" ht="13.85" x14ac:dyDescent="0.25">
      <c r="S24" s="137"/>
      <c r="T24" s="127"/>
      <c r="U24" s="146"/>
      <c r="V24" s="140"/>
      <c r="W24" s="140"/>
      <c r="X24" s="140"/>
    </row>
    <row r="25" spans="1:24" ht="13.85" x14ac:dyDescent="0.25">
      <c r="A25" s="180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37"/>
      <c r="T25" s="127"/>
      <c r="U25" s="146"/>
      <c r="V25" s="140"/>
      <c r="W25" s="140"/>
      <c r="X25" s="140"/>
    </row>
    <row r="26" spans="1:24" ht="14.4" thickBot="1" x14ac:dyDescent="0.3">
      <c r="A26" s="3"/>
      <c r="B26" s="3"/>
      <c r="D26" s="24"/>
      <c r="E26" s="5"/>
      <c r="F26" s="2"/>
      <c r="S26" s="137"/>
      <c r="T26" s="127"/>
      <c r="U26" s="146"/>
      <c r="V26" s="140"/>
      <c r="W26" s="140"/>
      <c r="X26" s="140"/>
    </row>
    <row r="27" spans="1:24" ht="13.85" x14ac:dyDescent="0.25">
      <c r="D27" s="302" t="s">
        <v>96</v>
      </c>
      <c r="E27" s="195" t="s">
        <v>91</v>
      </c>
      <c r="F27" s="196" t="s">
        <v>51</v>
      </c>
      <c r="G27" s="190" t="s">
        <v>102</v>
      </c>
      <c r="H27" s="219" t="s">
        <v>95</v>
      </c>
      <c r="I27" s="218" t="s">
        <v>105</v>
      </c>
      <c r="J27" s="249" t="s">
        <v>92</v>
      </c>
      <c r="K27" s="19" t="s">
        <v>89</v>
      </c>
      <c r="L27" s="21" t="s">
        <v>51</v>
      </c>
      <c r="M27" s="211" t="s">
        <v>90</v>
      </c>
      <c r="N27" s="215" t="s">
        <v>105</v>
      </c>
      <c r="O27" s="32" t="s">
        <v>104</v>
      </c>
      <c r="P27" s="37" t="s">
        <v>89</v>
      </c>
      <c r="Q27" s="21" t="s">
        <v>91</v>
      </c>
      <c r="S27" s="137"/>
      <c r="T27" s="127"/>
      <c r="U27" s="146"/>
      <c r="V27" s="140"/>
      <c r="W27" s="140"/>
      <c r="X27" s="140"/>
    </row>
    <row r="28" spans="1:24" ht="14.4" thickBot="1" x14ac:dyDescent="0.3">
      <c r="B28" s="6" t="s">
        <v>88</v>
      </c>
      <c r="D28" s="303">
        <v>0.02</v>
      </c>
      <c r="E28" s="300" t="s">
        <v>103</v>
      </c>
      <c r="F28" s="197" t="s">
        <v>98</v>
      </c>
      <c r="G28" s="86" t="s">
        <v>97</v>
      </c>
      <c r="H28" s="189"/>
      <c r="I28" s="220" t="s">
        <v>106</v>
      </c>
      <c r="J28" s="188" t="s">
        <v>6</v>
      </c>
      <c r="K28" s="188"/>
      <c r="L28" s="86" t="s">
        <v>94</v>
      </c>
      <c r="M28" s="187"/>
      <c r="N28" s="193" t="s">
        <v>106</v>
      </c>
      <c r="O28" s="248" t="s">
        <v>6</v>
      </c>
      <c r="P28" s="188"/>
      <c r="Q28" s="86" t="s">
        <v>93</v>
      </c>
      <c r="S28" s="137"/>
      <c r="T28" s="127"/>
      <c r="U28" s="146"/>
      <c r="V28" s="140"/>
      <c r="W28" s="140"/>
      <c r="X28" s="140"/>
    </row>
    <row r="29" spans="1:24" ht="15.55" x14ac:dyDescent="0.3">
      <c r="D29" s="304">
        <v>18218.628000000001</v>
      </c>
      <c r="E29" s="301">
        <v>26026.611428571428</v>
      </c>
      <c r="F29" s="191">
        <f>L29*I29</f>
        <v>8076.818571428571</v>
      </c>
      <c r="G29" s="192">
        <f>Q29*N29</f>
        <v>17949.792857142857</v>
      </c>
      <c r="H29" s="178"/>
      <c r="I29" s="222">
        <f>J29/J30</f>
        <v>0.58085714285714285</v>
      </c>
      <c r="J29" s="291">
        <v>20.329999999999998</v>
      </c>
      <c r="K29" s="72" t="s">
        <v>89</v>
      </c>
      <c r="L29" s="186">
        <v>13905</v>
      </c>
      <c r="M29" s="208" t="s">
        <v>90</v>
      </c>
      <c r="N29" s="213">
        <f>O29/O30</f>
        <v>0.41914285714285715</v>
      </c>
      <c r="O29" s="216">
        <v>14.67</v>
      </c>
      <c r="P29" s="217" t="s">
        <v>89</v>
      </c>
      <c r="Q29" s="186">
        <v>42825</v>
      </c>
      <c r="R29" s="13"/>
      <c r="S29" s="137"/>
      <c r="T29" s="132"/>
      <c r="U29" s="146"/>
      <c r="V29" s="286"/>
      <c r="W29" s="140"/>
      <c r="X29" s="140"/>
    </row>
    <row r="30" spans="1:24" ht="16.149999999999999" thickBot="1" x14ac:dyDescent="0.35">
      <c r="D30" s="214"/>
      <c r="E30" s="86"/>
      <c r="F30" s="187"/>
      <c r="G30" s="86"/>
      <c r="I30" s="214"/>
      <c r="J30" s="221">
        <v>35</v>
      </c>
      <c r="K30" s="180"/>
      <c r="L30" s="184"/>
      <c r="N30" s="214"/>
      <c r="O30" s="207">
        <v>35</v>
      </c>
      <c r="P30" s="180"/>
      <c r="Q30" s="184"/>
      <c r="R30" s="22"/>
      <c r="S30" s="137"/>
      <c r="T30" s="132"/>
      <c r="U30" s="146"/>
      <c r="V30" s="286"/>
      <c r="W30" s="140"/>
      <c r="X30" s="140"/>
    </row>
    <row r="31" spans="1:24" ht="15.55" x14ac:dyDescent="0.3">
      <c r="J31" t="s">
        <v>0</v>
      </c>
      <c r="L31" s="67"/>
      <c r="O31" s="61"/>
      <c r="Q31" s="61"/>
      <c r="S31" s="137"/>
      <c r="T31" s="137"/>
      <c r="U31" s="146"/>
      <c r="V31" s="140"/>
      <c r="W31" s="140"/>
      <c r="X31" s="140"/>
    </row>
    <row r="32" spans="1:24" ht="13.85" x14ac:dyDescent="0.25">
      <c r="S32" s="137"/>
      <c r="T32" s="137"/>
      <c r="U32" s="146"/>
      <c r="V32" s="140"/>
      <c r="W32" s="140"/>
      <c r="X32" s="140"/>
    </row>
    <row r="33" spans="4:24" ht="13.85" x14ac:dyDescent="0.25">
      <c r="O33" s="63"/>
      <c r="S33" s="137"/>
      <c r="T33" s="137"/>
      <c r="U33" s="146"/>
      <c r="V33" s="140"/>
      <c r="W33" s="140"/>
      <c r="X33" s="140"/>
    </row>
    <row r="34" spans="4:24" ht="15.55" x14ac:dyDescent="0.4">
      <c r="L34" s="68"/>
      <c r="O34" s="66"/>
      <c r="S34" s="137"/>
      <c r="T34" s="137"/>
      <c r="U34" s="146"/>
      <c r="V34" s="140"/>
      <c r="W34" s="140"/>
      <c r="X34" s="140"/>
    </row>
    <row r="35" spans="4:24" ht="13.85" x14ac:dyDescent="0.25">
      <c r="D35" s="58" t="s">
        <v>0</v>
      </c>
      <c r="F35" s="28" t="s">
        <v>0</v>
      </c>
      <c r="G35" s="177" t="s">
        <v>0</v>
      </c>
      <c r="I35" s="72"/>
      <c r="J35" s="28" t="s">
        <v>0</v>
      </c>
      <c r="K35" s="61"/>
      <c r="M35" s="156"/>
      <c r="N35" s="156"/>
      <c r="P35" s="61"/>
      <c r="R35" s="28" t="s">
        <v>117</v>
      </c>
      <c r="S35" s="137"/>
      <c r="T35" s="137"/>
      <c r="U35" s="146"/>
      <c r="V35" s="140"/>
      <c r="W35" s="140"/>
      <c r="X35" s="140"/>
    </row>
    <row r="36" spans="4:24" ht="13.85" x14ac:dyDescent="0.25">
      <c r="G36" s="176">
        <v>35</v>
      </c>
      <c r="J36" s="28"/>
      <c r="O36" s="28"/>
      <c r="S36" s="137"/>
      <c r="T36" s="137"/>
      <c r="U36" s="146"/>
      <c r="V36" s="140"/>
      <c r="W36" s="140"/>
      <c r="X36" s="140"/>
    </row>
    <row r="37" spans="4:24" ht="13.85" x14ac:dyDescent="0.25">
      <c r="G37">
        <f>SUM(I37:J37)</f>
        <v>30.33</v>
      </c>
      <c r="I37">
        <v>20.329999999999998</v>
      </c>
      <c r="J37">
        <v>10</v>
      </c>
      <c r="S37" s="137"/>
      <c r="T37" s="137"/>
      <c r="U37" s="146"/>
      <c r="V37" s="140"/>
      <c r="W37" s="140"/>
      <c r="X37" s="140"/>
    </row>
    <row r="38" spans="4:24" ht="13.85" x14ac:dyDescent="0.25">
      <c r="G38">
        <f>SUM(I38:J38)</f>
        <v>35</v>
      </c>
      <c r="I38" s="65">
        <f>$G$36-($G$36-I37)</f>
        <v>20.329999999999998</v>
      </c>
      <c r="J38">
        <v>14.67</v>
      </c>
      <c r="O38" t="s">
        <v>0</v>
      </c>
      <c r="S38" s="137"/>
      <c r="T38" s="137"/>
      <c r="U38" s="146"/>
      <c r="V38" s="140"/>
      <c r="W38" s="287"/>
      <c r="X38" s="140"/>
    </row>
    <row r="39" spans="4:24" ht="13.85" x14ac:dyDescent="0.25">
      <c r="E39" s="65" t="s">
        <v>0</v>
      </c>
      <c r="F39" s="65">
        <f>(I39+J39)-((I39+J39)-35)</f>
        <v>35</v>
      </c>
      <c r="G39">
        <f>SUM(I39:J39)</f>
        <v>35.33</v>
      </c>
      <c r="I39" s="65">
        <f>I37</f>
        <v>20.329999999999998</v>
      </c>
      <c r="J39">
        <v>15</v>
      </c>
      <c r="S39" s="137"/>
      <c r="T39" s="137"/>
      <c r="U39" s="146"/>
      <c r="V39" s="140"/>
      <c r="W39" s="287"/>
      <c r="X39" s="140"/>
    </row>
    <row r="40" spans="4:24" ht="13.85" x14ac:dyDescent="0.25">
      <c r="F40" s="65">
        <f>(I40+J40)-((I40+J40)-35)</f>
        <v>35</v>
      </c>
      <c r="G40">
        <f>SUM(I40:J40)</f>
        <v>55.33</v>
      </c>
      <c r="I40" s="65">
        <f>I38</f>
        <v>20.329999999999998</v>
      </c>
      <c r="J40">
        <v>35</v>
      </c>
      <c r="S40" s="137"/>
      <c r="T40" s="137"/>
      <c r="U40" s="146"/>
      <c r="V40" s="140"/>
      <c r="W40" s="140"/>
      <c r="X40" s="140"/>
    </row>
    <row r="41" spans="4:24" ht="13.85" x14ac:dyDescent="0.25">
      <c r="F41" s="65">
        <f>(I41+J41)-((I41+J41)-35)</f>
        <v>35</v>
      </c>
      <c r="G41">
        <f>SUM(I41:J41)</f>
        <v>56.33</v>
      </c>
      <c r="I41" s="65">
        <f>I39</f>
        <v>20.329999999999998</v>
      </c>
      <c r="J41">
        <v>36</v>
      </c>
      <c r="S41" s="137"/>
      <c r="T41" s="137"/>
      <c r="U41" s="146"/>
      <c r="V41" s="140"/>
      <c r="W41" s="140"/>
      <c r="X41" s="140"/>
    </row>
    <row r="42" spans="4:24" ht="13.85" x14ac:dyDescent="0.25">
      <c r="M42" s="74" t="s">
        <v>0</v>
      </c>
      <c r="N42" s="74"/>
      <c r="O42" s="72"/>
      <c r="P42" s="72"/>
      <c r="Q42" s="146"/>
      <c r="R42" s="72"/>
      <c r="S42" s="137"/>
      <c r="T42" s="137"/>
      <c r="U42" s="146"/>
      <c r="V42" s="140"/>
      <c r="W42" s="140"/>
      <c r="X42" s="140"/>
    </row>
    <row r="43" spans="4:24" ht="13.85" x14ac:dyDescent="0.25">
      <c r="O43" s="72"/>
      <c r="P43" s="72"/>
      <c r="Q43" s="146"/>
      <c r="R43" s="146"/>
      <c r="S43" s="137"/>
      <c r="T43" s="137"/>
      <c r="U43" s="146"/>
      <c r="V43" s="140"/>
      <c r="W43" s="140"/>
      <c r="X43" s="140"/>
    </row>
    <row r="44" spans="4:24" ht="13.85" x14ac:dyDescent="0.25">
      <c r="O44" s="72"/>
      <c r="P44" s="72"/>
      <c r="Q44" s="72"/>
      <c r="R44" s="146"/>
      <c r="S44" s="72"/>
      <c r="T44" s="137"/>
      <c r="U44" s="146"/>
      <c r="V44" s="140"/>
      <c r="W44" s="140"/>
      <c r="X44" s="140"/>
    </row>
    <row r="45" spans="4:24" ht="13.85" x14ac:dyDescent="0.25">
      <c r="O45" s="72"/>
      <c r="P45" s="72"/>
      <c r="Q45" s="72"/>
      <c r="R45" s="146"/>
      <c r="S45" s="72"/>
      <c r="T45" s="137"/>
      <c r="U45" s="146"/>
      <c r="V45" s="140"/>
      <c r="W45" s="140"/>
      <c r="X45" s="140"/>
    </row>
    <row r="46" spans="4:24" ht="13.85" x14ac:dyDescent="0.25">
      <c r="O46" s="72"/>
      <c r="P46" s="72"/>
      <c r="Q46" s="72"/>
      <c r="R46" s="146"/>
      <c r="S46" s="72"/>
      <c r="T46" s="137"/>
      <c r="U46" s="146"/>
      <c r="V46" s="140"/>
      <c r="W46" s="140"/>
      <c r="X46" s="140"/>
    </row>
    <row r="47" spans="4:24" ht="13.85" x14ac:dyDescent="0.25">
      <c r="O47" s="72"/>
      <c r="P47" s="72"/>
      <c r="Q47" s="72"/>
      <c r="R47" s="146"/>
      <c r="S47" s="72"/>
      <c r="T47" s="137"/>
      <c r="U47" s="146"/>
      <c r="V47" s="140"/>
      <c r="W47" s="140"/>
      <c r="X47" s="140"/>
    </row>
    <row r="48" spans="4:24" ht="13.85" x14ac:dyDescent="0.25">
      <c r="O48" s="72"/>
      <c r="P48" s="72"/>
      <c r="Q48" s="72"/>
      <c r="R48" s="146"/>
      <c r="S48" s="72"/>
      <c r="T48" s="137"/>
      <c r="U48" s="146"/>
      <c r="V48" s="140"/>
      <c r="W48" s="140"/>
      <c r="X48" s="140"/>
    </row>
    <row r="49" spans="15:24" ht="13.85" x14ac:dyDescent="0.25">
      <c r="O49" s="72"/>
      <c r="P49" s="72"/>
      <c r="Q49" s="72"/>
      <c r="R49" s="146"/>
      <c r="S49" s="72"/>
      <c r="T49" s="137"/>
      <c r="U49" s="146"/>
      <c r="V49" s="140"/>
      <c r="W49" s="140"/>
      <c r="X49" s="140"/>
    </row>
    <row r="50" spans="15:24" ht="13.85" x14ac:dyDescent="0.25">
      <c r="O50" s="72"/>
      <c r="P50" s="72"/>
      <c r="Q50" s="72"/>
      <c r="R50" s="146"/>
      <c r="S50" s="72"/>
      <c r="T50" s="137"/>
      <c r="U50" s="146"/>
      <c r="V50" s="140"/>
      <c r="W50" s="140"/>
      <c r="X50" s="140"/>
    </row>
    <row r="51" spans="15:24" x14ac:dyDescent="0.25">
      <c r="O51" s="72"/>
      <c r="P51" s="72"/>
      <c r="Q51" s="72"/>
      <c r="R51" s="146"/>
      <c r="S51" s="72"/>
      <c r="T51" s="72"/>
      <c r="U51" s="72"/>
      <c r="V51" s="72"/>
      <c r="W51" s="72"/>
      <c r="X51" s="72"/>
    </row>
    <row r="52" spans="15:24" x14ac:dyDescent="0.25">
      <c r="O52" s="72"/>
      <c r="P52" s="72"/>
      <c r="Q52" s="72"/>
      <c r="R52" s="146"/>
      <c r="S52" s="72"/>
      <c r="T52" s="72"/>
      <c r="U52" s="72"/>
      <c r="V52" s="72"/>
      <c r="W52" s="72"/>
      <c r="X52" s="72"/>
    </row>
    <row r="53" spans="15:24" x14ac:dyDescent="0.25">
      <c r="O53" s="72"/>
      <c r="P53" s="72"/>
      <c r="Q53" s="72"/>
      <c r="R53" s="146"/>
      <c r="S53" s="72"/>
      <c r="T53" s="72"/>
      <c r="U53" s="72"/>
      <c r="V53" s="72"/>
      <c r="W53" s="72"/>
      <c r="X53" s="72"/>
    </row>
    <row r="54" spans="15:24" x14ac:dyDescent="0.25">
      <c r="O54" s="72"/>
      <c r="P54" s="72"/>
      <c r="Q54" s="72"/>
      <c r="R54" s="146"/>
      <c r="S54" s="72"/>
      <c r="T54" s="72"/>
      <c r="U54" s="72"/>
      <c r="V54" s="72"/>
      <c r="W54" s="72"/>
      <c r="X54" s="72"/>
    </row>
    <row r="55" spans="15:24" x14ac:dyDescent="0.25">
      <c r="O55" s="72"/>
      <c r="P55" s="72"/>
      <c r="Q55" s="72"/>
      <c r="R55" s="146"/>
      <c r="S55" s="72"/>
      <c r="T55" s="72"/>
      <c r="U55" s="72"/>
      <c r="V55" s="72"/>
      <c r="W55" s="72"/>
      <c r="X55" s="72"/>
    </row>
    <row r="56" spans="15:24" x14ac:dyDescent="0.25">
      <c r="O56" s="72"/>
      <c r="P56" s="72"/>
      <c r="Q56" s="72"/>
      <c r="R56" s="146"/>
      <c r="S56" s="72"/>
      <c r="T56" s="72"/>
      <c r="U56" s="72"/>
      <c r="V56" s="72"/>
      <c r="W56" s="72"/>
      <c r="X56" s="72"/>
    </row>
    <row r="57" spans="15:24" x14ac:dyDescent="0.25">
      <c r="O57" s="72"/>
      <c r="P57" s="72"/>
      <c r="Q57" s="72"/>
      <c r="R57" s="146"/>
      <c r="S57" s="72"/>
      <c r="T57" s="72"/>
      <c r="U57" s="72"/>
      <c r="V57" s="72"/>
      <c r="W57" s="72"/>
      <c r="X57" s="72"/>
    </row>
    <row r="58" spans="15:24" x14ac:dyDescent="0.25">
      <c r="O58" s="72"/>
      <c r="P58" s="72"/>
      <c r="Q58" s="72"/>
      <c r="R58" s="146"/>
      <c r="S58" s="72"/>
      <c r="T58" s="72"/>
      <c r="U58" s="72"/>
      <c r="V58" s="72"/>
      <c r="W58" s="72"/>
      <c r="X58" s="72"/>
    </row>
    <row r="59" spans="15:24" x14ac:dyDescent="0.25">
      <c r="O59" s="72"/>
      <c r="P59" s="72"/>
      <c r="Q59" s="72"/>
      <c r="R59" s="146"/>
      <c r="S59" s="72"/>
      <c r="T59" s="72"/>
      <c r="U59" s="72"/>
      <c r="V59" s="72"/>
      <c r="W59" s="72"/>
      <c r="X59" s="72"/>
    </row>
    <row r="60" spans="15:24" x14ac:dyDescent="0.25">
      <c r="O60" s="72"/>
      <c r="P60" s="72"/>
      <c r="Q60" s="72"/>
      <c r="R60" s="146"/>
      <c r="S60" s="72"/>
      <c r="T60" s="72"/>
      <c r="U60" s="72"/>
      <c r="V60" s="72"/>
      <c r="W60" s="72"/>
      <c r="X60" s="72"/>
    </row>
    <row r="61" spans="15:24" x14ac:dyDescent="0.25">
      <c r="O61" s="72"/>
      <c r="P61" s="72"/>
      <c r="Q61" s="72"/>
      <c r="R61" s="288"/>
      <c r="S61" s="72"/>
      <c r="T61" s="72"/>
      <c r="U61" s="72"/>
      <c r="V61" s="72"/>
      <c r="W61" s="72"/>
      <c r="X61" s="72"/>
    </row>
    <row r="62" spans="15:24" x14ac:dyDescent="0.25">
      <c r="O62" s="72"/>
      <c r="P62" s="72"/>
      <c r="Q62" s="72"/>
      <c r="R62" s="288"/>
      <c r="S62" s="72"/>
      <c r="T62" s="72"/>
      <c r="U62" s="72"/>
      <c r="V62" s="72"/>
      <c r="W62" s="72"/>
      <c r="X62" s="72"/>
    </row>
    <row r="63" spans="15:24" x14ac:dyDescent="0.25">
      <c r="O63" s="72"/>
      <c r="P63" s="72"/>
      <c r="Q63" s="72"/>
      <c r="R63" s="288"/>
      <c r="S63" s="72"/>
      <c r="T63" s="72"/>
      <c r="U63" s="72"/>
      <c r="V63" s="72"/>
      <c r="W63" s="72"/>
      <c r="X63" s="72"/>
    </row>
    <row r="64" spans="15:24" x14ac:dyDescent="0.25">
      <c r="O64" s="72"/>
      <c r="P64" s="72"/>
      <c r="Q64" s="72"/>
      <c r="R64" s="288"/>
      <c r="S64" s="72"/>
      <c r="T64" s="72"/>
      <c r="U64" s="72"/>
      <c r="V64" s="72"/>
      <c r="W64" s="72"/>
      <c r="X64" s="72"/>
    </row>
    <row r="65" spans="15:24" x14ac:dyDescent="0.25">
      <c r="O65" s="72"/>
      <c r="P65" s="72"/>
      <c r="Q65" s="72"/>
      <c r="R65" s="288"/>
      <c r="S65" s="72"/>
      <c r="T65" s="72"/>
      <c r="U65" s="72"/>
      <c r="V65" s="72"/>
      <c r="W65" s="72"/>
      <c r="X65" s="72"/>
    </row>
    <row r="66" spans="15:24" x14ac:dyDescent="0.25">
      <c r="O66" s="72"/>
      <c r="P66" s="72"/>
      <c r="Q66" s="72"/>
      <c r="R66" s="288"/>
      <c r="S66" s="72"/>
      <c r="T66" s="72"/>
      <c r="U66" s="72"/>
      <c r="V66" s="72"/>
      <c r="W66" s="72"/>
      <c r="X66" s="72"/>
    </row>
    <row r="67" spans="15:24" x14ac:dyDescent="0.25">
      <c r="O67" s="72"/>
      <c r="P67" s="72"/>
      <c r="Q67" s="72"/>
      <c r="R67" s="288"/>
      <c r="S67" s="72"/>
      <c r="T67" s="72"/>
      <c r="U67" s="72"/>
      <c r="V67" s="72"/>
      <c r="W67" s="72"/>
      <c r="X67" s="72"/>
    </row>
    <row r="68" spans="15:24" x14ac:dyDescent="0.25">
      <c r="O68" s="72"/>
      <c r="P68" s="72"/>
      <c r="Q68" s="72"/>
      <c r="R68" s="146"/>
      <c r="S68" s="72"/>
      <c r="T68" s="72"/>
      <c r="U68" s="72"/>
      <c r="V68" s="72"/>
      <c r="W68" s="72"/>
      <c r="X68" s="72"/>
    </row>
    <row r="69" spans="15:24" x14ac:dyDescent="0.25">
      <c r="O69" s="72"/>
      <c r="P69" s="72"/>
      <c r="Q69" s="72"/>
      <c r="R69" s="146"/>
      <c r="S69" s="72"/>
      <c r="T69" s="72"/>
      <c r="U69" s="72"/>
      <c r="V69" s="72"/>
      <c r="W69" s="72"/>
      <c r="X69" s="72"/>
    </row>
    <row r="70" spans="15:24" x14ac:dyDescent="0.25">
      <c r="O70" s="72"/>
      <c r="P70" s="72"/>
      <c r="Q70" s="72"/>
      <c r="R70" s="146"/>
      <c r="S70" s="72"/>
      <c r="T70" s="72"/>
      <c r="U70" s="72"/>
      <c r="V70" s="72"/>
      <c r="W70" s="72"/>
      <c r="X70" s="72"/>
    </row>
    <row r="71" spans="15:24" x14ac:dyDescent="0.25">
      <c r="O71" s="72"/>
      <c r="P71" s="72"/>
      <c r="Q71" s="72"/>
      <c r="R71" s="146"/>
      <c r="S71" s="72"/>
      <c r="T71" s="72"/>
      <c r="U71" s="72"/>
      <c r="V71" s="72"/>
      <c r="W71" s="72"/>
      <c r="X71" s="72"/>
    </row>
    <row r="72" spans="15:24" x14ac:dyDescent="0.25">
      <c r="O72" s="72"/>
      <c r="P72" s="72"/>
      <c r="Q72" s="72"/>
      <c r="R72" s="72"/>
      <c r="S72" s="72"/>
      <c r="T72" s="72"/>
      <c r="U72" s="72"/>
      <c r="V72" s="72"/>
      <c r="W72" s="72"/>
      <c r="X72" s="72"/>
    </row>
    <row r="73" spans="15:24" ht="17.850000000000001" x14ac:dyDescent="0.35">
      <c r="O73" s="72"/>
      <c r="P73" s="72"/>
      <c r="Q73" s="72"/>
      <c r="R73" s="271"/>
      <c r="S73" s="72"/>
      <c r="T73" s="72"/>
      <c r="U73" s="72"/>
      <c r="V73" s="72"/>
      <c r="W73" s="72"/>
      <c r="X73" s="72"/>
    </row>
    <row r="74" spans="15:24" ht="17.850000000000001" x14ac:dyDescent="0.35">
      <c r="O74" s="72"/>
      <c r="P74" s="72"/>
      <c r="Q74" s="72"/>
      <c r="R74" s="271"/>
      <c r="S74" s="72"/>
      <c r="T74" s="72"/>
      <c r="U74" s="72"/>
      <c r="V74" s="72"/>
      <c r="W74" s="72"/>
      <c r="X74" s="72"/>
    </row>
    <row r="75" spans="15:24" ht="13.85" x14ac:dyDescent="0.25">
      <c r="O75" s="72"/>
      <c r="P75" s="72"/>
      <c r="Q75" s="72"/>
      <c r="R75" s="272"/>
      <c r="S75" s="72"/>
      <c r="T75" s="72"/>
      <c r="U75" s="72"/>
      <c r="V75" s="72"/>
      <c r="W75" s="72"/>
      <c r="X75" s="72"/>
    </row>
    <row r="76" spans="15:24" x14ac:dyDescent="0.25">
      <c r="O76" s="72"/>
      <c r="P76" s="72"/>
      <c r="Q76" s="72"/>
      <c r="R76" s="146"/>
      <c r="S76" s="72"/>
      <c r="T76" s="72"/>
      <c r="U76" s="72"/>
      <c r="V76" s="72"/>
      <c r="W76" s="72"/>
      <c r="X76" s="72"/>
    </row>
    <row r="77" spans="15:24" x14ac:dyDescent="0.25">
      <c r="O77" s="72"/>
      <c r="P77" s="72"/>
      <c r="Q77" s="72"/>
      <c r="R77" s="289"/>
      <c r="S77" s="72"/>
      <c r="T77" s="72"/>
      <c r="U77" s="72"/>
      <c r="V77" s="72"/>
      <c r="W77" s="72"/>
      <c r="X77" s="72"/>
    </row>
    <row r="78" spans="15:24" x14ac:dyDescent="0.25">
      <c r="O78" s="72"/>
      <c r="P78" s="72"/>
      <c r="Q78" s="72"/>
      <c r="R78" s="290"/>
      <c r="S78" s="72"/>
      <c r="T78" s="72"/>
      <c r="U78" s="72"/>
      <c r="V78" s="72"/>
      <c r="W78" s="72"/>
      <c r="X78" s="72"/>
    </row>
    <row r="79" spans="15:24" x14ac:dyDescent="0.25">
      <c r="O79" s="72"/>
      <c r="P79" s="72"/>
      <c r="Q79" s="72"/>
      <c r="R79" s="290"/>
      <c r="S79" s="72"/>
      <c r="T79" s="72"/>
      <c r="U79" s="72"/>
      <c r="V79" s="72"/>
      <c r="W79" s="72"/>
      <c r="X79" s="72"/>
    </row>
    <row r="80" spans="15:24" x14ac:dyDescent="0.25">
      <c r="O80" s="72"/>
      <c r="P80" s="72"/>
      <c r="Q80" s="72"/>
      <c r="R80" s="146"/>
      <c r="S80" s="72"/>
      <c r="T80" s="72"/>
      <c r="U80" s="72"/>
      <c r="V80" s="72"/>
      <c r="W80" s="72"/>
      <c r="X80" s="72"/>
    </row>
    <row r="81" spans="15:24" x14ac:dyDescent="0.25">
      <c r="O81" s="72"/>
      <c r="P81" s="72"/>
      <c r="Q81" s="72"/>
      <c r="R81" s="146"/>
      <c r="S81" s="72"/>
      <c r="T81" s="72"/>
      <c r="U81" s="72"/>
      <c r="V81" s="72"/>
      <c r="W81" s="72"/>
      <c r="X81" s="72"/>
    </row>
    <row r="82" spans="15:24" x14ac:dyDescent="0.25">
      <c r="O82" s="72"/>
      <c r="P82" s="72"/>
      <c r="Q82" s="72"/>
      <c r="R82" s="146"/>
      <c r="S82" s="72"/>
      <c r="T82" s="72"/>
      <c r="U82" s="72"/>
      <c r="V82" s="72"/>
      <c r="W82" s="72"/>
      <c r="X82" s="72"/>
    </row>
    <row r="83" spans="15:24" x14ac:dyDescent="0.25">
      <c r="O83" s="72"/>
      <c r="P83" s="72"/>
      <c r="Q83" s="72"/>
      <c r="R83" s="146"/>
      <c r="S83" s="72"/>
      <c r="T83" s="72"/>
      <c r="U83" s="72"/>
      <c r="V83" s="72"/>
      <c r="W83" s="72"/>
      <c r="X83" s="72"/>
    </row>
    <row r="84" spans="15:24" x14ac:dyDescent="0.25">
      <c r="O84" s="72"/>
      <c r="P84" s="72"/>
      <c r="Q84" s="72"/>
      <c r="R84" s="146"/>
      <c r="S84" s="72"/>
      <c r="T84" s="72"/>
      <c r="U84" s="72"/>
      <c r="V84" s="72"/>
      <c r="W84" s="72"/>
      <c r="X84" s="72"/>
    </row>
    <row r="85" spans="15:24" x14ac:dyDescent="0.25">
      <c r="O85" s="72"/>
      <c r="P85" s="72"/>
      <c r="Q85" s="72"/>
      <c r="R85" s="146"/>
      <c r="S85" s="72"/>
      <c r="T85" s="72"/>
      <c r="U85" s="72"/>
      <c r="V85" s="72"/>
      <c r="W85" s="72"/>
      <c r="X85" s="72"/>
    </row>
    <row r="86" spans="15:24" x14ac:dyDescent="0.25">
      <c r="O86" s="72"/>
      <c r="P86" s="72"/>
      <c r="Q86" s="72"/>
      <c r="R86" s="146"/>
      <c r="S86" s="72"/>
      <c r="T86" s="72"/>
      <c r="U86" s="72"/>
      <c r="V86" s="72"/>
      <c r="W86" s="72"/>
      <c r="X86" s="72"/>
    </row>
    <row r="87" spans="15:24" x14ac:dyDescent="0.25">
      <c r="O87" s="72"/>
      <c r="P87" s="72"/>
      <c r="Q87" s="72"/>
      <c r="R87" s="146"/>
      <c r="S87" s="72"/>
      <c r="T87" s="72"/>
      <c r="U87" s="72"/>
      <c r="V87" s="72"/>
      <c r="W87" s="72"/>
      <c r="X87" s="72"/>
    </row>
    <row r="88" spans="15:24" x14ac:dyDescent="0.25">
      <c r="O88" s="72"/>
      <c r="P88" s="72"/>
      <c r="Q88" s="72"/>
      <c r="R88" s="146"/>
      <c r="S88" s="72"/>
      <c r="T88" s="72"/>
      <c r="U88" s="72"/>
      <c r="V88" s="72"/>
      <c r="W88" s="72"/>
      <c r="X88" s="72"/>
    </row>
    <row r="89" spans="15:24" x14ac:dyDescent="0.25">
      <c r="O89" s="72"/>
      <c r="P89" s="72"/>
      <c r="Q89" s="72"/>
      <c r="R89" s="146"/>
      <c r="S89" s="72"/>
      <c r="T89" s="72"/>
      <c r="U89" s="72"/>
      <c r="V89" s="72"/>
      <c r="W89" s="72"/>
      <c r="X89" s="72"/>
    </row>
    <row r="90" spans="15:24" x14ac:dyDescent="0.25">
      <c r="O90" s="72"/>
      <c r="P90" s="72"/>
      <c r="Q90" s="72"/>
      <c r="R90" s="146"/>
      <c r="S90" s="72"/>
      <c r="T90" s="72"/>
      <c r="U90" s="72"/>
      <c r="V90" s="72"/>
      <c r="W90" s="72"/>
      <c r="X90" s="72"/>
    </row>
    <row r="91" spans="15:24" x14ac:dyDescent="0.25">
      <c r="O91" s="72"/>
      <c r="P91" s="72"/>
      <c r="Q91" s="72"/>
      <c r="R91" s="146"/>
      <c r="S91" s="72"/>
      <c r="T91" s="72"/>
      <c r="U91" s="72"/>
      <c r="V91" s="72"/>
      <c r="W91" s="72"/>
      <c r="X91" s="72"/>
    </row>
    <row r="92" spans="15:24" x14ac:dyDescent="0.25">
      <c r="O92" s="72"/>
      <c r="P92" s="72"/>
      <c r="Q92" s="72"/>
      <c r="R92" s="146"/>
      <c r="S92" s="72"/>
      <c r="T92" s="72"/>
      <c r="U92" s="72"/>
      <c r="V92" s="72"/>
      <c r="W92" s="72"/>
      <c r="X92" s="72"/>
    </row>
    <row r="93" spans="15:24" x14ac:dyDescent="0.25">
      <c r="O93" s="72"/>
      <c r="P93" s="72"/>
      <c r="Q93" s="72"/>
      <c r="R93" s="146"/>
      <c r="S93" s="72"/>
      <c r="T93" s="72"/>
      <c r="U93" s="72"/>
      <c r="V93" s="72"/>
      <c r="W93" s="72"/>
      <c r="X93" s="72"/>
    </row>
    <row r="94" spans="15:24" x14ac:dyDescent="0.25">
      <c r="O94" s="72"/>
      <c r="P94" s="72"/>
      <c r="Q94" s="72"/>
      <c r="R94" s="146"/>
      <c r="S94" s="72"/>
      <c r="T94" s="72"/>
      <c r="U94" s="72"/>
      <c r="V94" s="72"/>
      <c r="W94" s="72"/>
      <c r="X94" s="72"/>
    </row>
    <row r="95" spans="15:24" x14ac:dyDescent="0.25">
      <c r="O95" s="72"/>
      <c r="P95" s="72"/>
      <c r="Q95" s="72"/>
      <c r="R95" s="146"/>
      <c r="S95" s="72"/>
      <c r="T95" s="72"/>
      <c r="U95" s="72"/>
      <c r="V95" s="72"/>
      <c r="W95" s="72"/>
      <c r="X95" s="72"/>
    </row>
    <row r="96" spans="15:24" x14ac:dyDescent="0.25">
      <c r="O96" s="72"/>
      <c r="P96" s="72"/>
      <c r="Q96" s="72"/>
      <c r="R96" s="146"/>
      <c r="S96" s="72"/>
      <c r="T96" s="72"/>
      <c r="U96" s="72"/>
      <c r="V96" s="72"/>
      <c r="W96" s="72"/>
      <c r="X96" s="72"/>
    </row>
    <row r="97" spans="15:24" x14ac:dyDescent="0.25">
      <c r="O97" s="72"/>
      <c r="P97" s="72"/>
      <c r="Q97" s="72"/>
      <c r="R97" s="146"/>
      <c r="S97" s="72"/>
      <c r="T97" s="72"/>
      <c r="U97" s="72"/>
      <c r="V97" s="72"/>
      <c r="W97" s="72"/>
      <c r="X97" s="72"/>
    </row>
    <row r="98" spans="15:24" x14ac:dyDescent="0.25">
      <c r="O98" s="72"/>
      <c r="P98" s="72"/>
      <c r="Q98" s="72"/>
      <c r="R98" s="288"/>
      <c r="S98" s="72"/>
      <c r="T98" s="72"/>
      <c r="U98" s="72"/>
      <c r="V98" s="72"/>
      <c r="W98" s="72"/>
      <c r="X98" s="72"/>
    </row>
    <row r="99" spans="15:24" x14ac:dyDescent="0.25">
      <c r="O99" s="72"/>
      <c r="P99" s="72"/>
      <c r="Q99" s="72"/>
      <c r="R99" s="288"/>
      <c r="S99" s="72"/>
      <c r="T99" s="72"/>
      <c r="U99" s="72"/>
      <c r="V99" s="72"/>
      <c r="W99" s="72"/>
      <c r="X99" s="72"/>
    </row>
    <row r="100" spans="15:24" x14ac:dyDescent="0.25">
      <c r="O100" s="72"/>
      <c r="P100" s="72"/>
      <c r="Q100" s="72"/>
      <c r="R100" s="288"/>
      <c r="S100" s="72"/>
      <c r="T100" s="72"/>
      <c r="U100" s="72"/>
      <c r="V100" s="72"/>
      <c r="W100" s="72"/>
      <c r="X100" s="72"/>
    </row>
    <row r="101" spans="15:24" x14ac:dyDescent="0.25">
      <c r="O101" s="72"/>
      <c r="P101" s="72"/>
      <c r="Q101" s="72"/>
      <c r="R101" s="288"/>
      <c r="S101" s="72"/>
      <c r="T101" s="72"/>
      <c r="U101" s="72"/>
      <c r="V101" s="72"/>
      <c r="W101" s="72"/>
      <c r="X101" s="72"/>
    </row>
    <row r="102" spans="15:24" x14ac:dyDescent="0.25">
      <c r="O102" s="72"/>
      <c r="P102" s="72"/>
      <c r="Q102" s="72"/>
      <c r="R102" s="288"/>
      <c r="S102" s="72"/>
      <c r="T102" s="72"/>
      <c r="U102" s="72"/>
      <c r="V102" s="72"/>
      <c r="W102" s="72"/>
      <c r="X102" s="72"/>
    </row>
    <row r="103" spans="15:24" x14ac:dyDescent="0.25">
      <c r="O103" s="72"/>
      <c r="P103" s="72"/>
      <c r="Q103" s="72"/>
      <c r="R103" s="288"/>
      <c r="S103" s="72"/>
      <c r="T103" s="72"/>
      <c r="U103" s="72"/>
      <c r="V103" s="72"/>
      <c r="W103" s="72"/>
      <c r="X103" s="72"/>
    </row>
    <row r="104" spans="15:24" x14ac:dyDescent="0.25">
      <c r="O104" s="72"/>
      <c r="P104" s="72"/>
      <c r="Q104" s="72"/>
      <c r="R104" s="288"/>
      <c r="S104" s="72"/>
      <c r="T104" s="72"/>
      <c r="U104" s="72"/>
      <c r="V104" s="72"/>
      <c r="W104" s="72"/>
      <c r="X104" s="72"/>
    </row>
    <row r="105" spans="15:24" x14ac:dyDescent="0.25">
      <c r="O105" s="72"/>
      <c r="P105" s="72"/>
      <c r="Q105" s="72"/>
      <c r="R105" s="146"/>
      <c r="S105" s="72"/>
      <c r="T105" s="72"/>
      <c r="U105" s="72"/>
      <c r="V105" s="72"/>
      <c r="W105" s="72"/>
      <c r="X105" s="72"/>
    </row>
    <row r="106" spans="15:24" x14ac:dyDescent="0.25">
      <c r="O106" s="72"/>
      <c r="P106" s="72"/>
      <c r="Q106" s="72"/>
      <c r="R106" s="146"/>
      <c r="S106" s="72"/>
      <c r="T106" s="72"/>
      <c r="U106" s="72"/>
      <c r="V106" s="72"/>
      <c r="W106" s="72"/>
      <c r="X106" s="72"/>
    </row>
    <row r="107" spans="15:24" x14ac:dyDescent="0.25">
      <c r="O107" s="72"/>
      <c r="P107" s="72"/>
      <c r="Q107" s="72"/>
      <c r="R107" s="146"/>
      <c r="S107" s="72"/>
      <c r="T107" s="72"/>
      <c r="U107" s="72"/>
      <c r="V107" s="72"/>
      <c r="W107" s="72"/>
      <c r="X107" s="72"/>
    </row>
    <row r="108" spans="15:24" x14ac:dyDescent="0.25">
      <c r="O108" s="72"/>
      <c r="P108" s="72"/>
      <c r="Q108" s="72"/>
      <c r="R108" s="146"/>
      <c r="S108" s="72"/>
      <c r="T108" s="72"/>
      <c r="U108" s="72"/>
      <c r="V108" s="72"/>
      <c r="W108" s="72"/>
      <c r="X108" s="72"/>
    </row>
    <row r="109" spans="15:24" x14ac:dyDescent="0.25">
      <c r="O109" s="72"/>
      <c r="P109" s="72"/>
      <c r="Q109" s="72"/>
      <c r="R109" s="72"/>
      <c r="S109" s="72"/>
      <c r="T109" s="72"/>
      <c r="U109" s="72"/>
      <c r="V109" s="72"/>
      <c r="W109" s="72"/>
      <c r="X109" s="72"/>
    </row>
    <row r="110" spans="15:24" x14ac:dyDescent="0.25">
      <c r="S110" s="72"/>
      <c r="T110" s="72"/>
      <c r="U110" s="72"/>
      <c r="V110" s="72"/>
      <c r="W110" s="72"/>
      <c r="X110" s="72"/>
    </row>
    <row r="111" spans="15:24" x14ac:dyDescent="0.25">
      <c r="T111" s="72"/>
      <c r="U111" s="72"/>
      <c r="V111" s="72"/>
      <c r="W111" s="72"/>
      <c r="X111" s="72"/>
    </row>
    <row r="112" spans="15:24" x14ac:dyDescent="0.25">
      <c r="T112" s="72"/>
      <c r="U112" s="72"/>
      <c r="V112" s="72"/>
      <c r="W112" s="72"/>
      <c r="X112" s="72"/>
    </row>
    <row r="113" spans="20:24" x14ac:dyDescent="0.25">
      <c r="T113" s="72"/>
      <c r="U113" s="72"/>
      <c r="V113" s="72"/>
      <c r="W113" s="72"/>
      <c r="X113" s="72"/>
    </row>
    <row r="114" spans="20:24" x14ac:dyDescent="0.25">
      <c r="T114" s="72"/>
      <c r="U114" s="72"/>
      <c r="V114" s="72"/>
      <c r="W114" s="72"/>
      <c r="X114" s="72"/>
    </row>
    <row r="115" spans="20:24" x14ac:dyDescent="0.25">
      <c r="T115" s="72"/>
      <c r="U115" s="72"/>
      <c r="V115" s="72"/>
      <c r="W115" s="72"/>
      <c r="X115" s="72"/>
    </row>
    <row r="116" spans="20:24" x14ac:dyDescent="0.25">
      <c r="T116" s="72"/>
      <c r="U116" s="72"/>
      <c r="V116" s="72"/>
      <c r="W116" s="72"/>
      <c r="X116" s="72"/>
    </row>
    <row r="117" spans="20:24" x14ac:dyDescent="0.25">
      <c r="T117" s="72"/>
      <c r="U117" s="72"/>
      <c r="V117" s="72"/>
      <c r="W117" s="72"/>
      <c r="X117" s="72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2.7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A3B3-D89E-4209-84A7-AAEF0150F176}">
  <dimension ref="B1:Z138"/>
  <sheetViews>
    <sheetView rightToLeft="1" topLeftCell="C38" workbookViewId="0">
      <selection activeCell="S41" sqref="S41"/>
    </sheetView>
  </sheetViews>
  <sheetFormatPr defaultRowHeight="12.7" x14ac:dyDescent="0.25"/>
  <cols>
    <col min="1" max="1" width="7.109375" customWidth="1"/>
    <col min="2" max="2" width="9.88671875" customWidth="1"/>
    <col min="3" max="3" width="11" customWidth="1"/>
    <col min="4" max="4" width="8.88671875" customWidth="1"/>
    <col min="6" max="6" width="14.33203125" bestFit="1" customWidth="1"/>
    <col min="7" max="7" width="12" bestFit="1" customWidth="1"/>
    <col min="8" max="8" width="9.6640625" customWidth="1"/>
    <col min="9" max="9" width="10.33203125" customWidth="1"/>
    <col min="10" max="10" width="1.44140625" customWidth="1"/>
    <col min="11" max="11" width="8.44140625" customWidth="1"/>
    <col min="12" max="12" width="9.6640625" customWidth="1"/>
    <col min="13" max="13" width="2.88671875" customWidth="1"/>
    <col min="14" max="14" width="10.33203125" customWidth="1"/>
    <col min="15" max="15" width="2.5546875" customWidth="1"/>
    <col min="16" max="16" width="8.44140625" customWidth="1"/>
    <col min="17" max="17" width="10.109375" customWidth="1"/>
    <col min="18" max="18" width="2.5546875" customWidth="1"/>
    <col min="19" max="19" width="9.44140625" customWidth="1"/>
  </cols>
  <sheetData>
    <row r="1" spans="3:20" s="13" customFormat="1" ht="15.55" x14ac:dyDescent="0.3">
      <c r="C1" s="13" t="s">
        <v>46</v>
      </c>
      <c r="G1" s="22"/>
    </row>
    <row r="2" spans="3:20" s="13" customFormat="1" ht="15.55" x14ac:dyDescent="0.3">
      <c r="C2" s="5" t="s">
        <v>47</v>
      </c>
    </row>
    <row r="3" spans="3:20" s="13" customFormat="1" ht="15.55" x14ac:dyDescent="0.3">
      <c r="E3" s="13" t="s">
        <v>11</v>
      </c>
    </row>
    <row r="4" spans="3:20" ht="13.25" thickBot="1" x14ac:dyDescent="0.3">
      <c r="D4" s="5" t="s">
        <v>13</v>
      </c>
    </row>
    <row r="5" spans="3:20" ht="16.149999999999999" thickBot="1" x14ac:dyDescent="0.35">
      <c r="D5" s="157"/>
      <c r="E5" s="18" t="s">
        <v>4</v>
      </c>
      <c r="F5" s="153" t="s">
        <v>1</v>
      </c>
      <c r="L5" s="61" t="s">
        <v>0</v>
      </c>
      <c r="M5" s="60" t="s">
        <v>0</v>
      </c>
      <c r="T5" s="13"/>
    </row>
    <row r="6" spans="3:20" x14ac:dyDescent="0.25">
      <c r="D6" s="159" t="s">
        <v>2</v>
      </c>
      <c r="E6" s="65">
        <f>S38</f>
        <v>36</v>
      </c>
      <c r="F6" s="160">
        <f>+S39</f>
        <v>42825</v>
      </c>
    </row>
    <row r="7" spans="3:20" ht="13.25" thickBot="1" x14ac:dyDescent="0.3">
      <c r="D7" s="161" t="s">
        <v>3</v>
      </c>
      <c r="E7" s="200">
        <f>+N38</f>
        <v>20.329999999999998</v>
      </c>
      <c r="F7" s="162">
        <f>+N39</f>
        <v>13905</v>
      </c>
      <c r="M7" s="61" t="s">
        <v>0</v>
      </c>
    </row>
    <row r="8" spans="3:20" x14ac:dyDescent="0.25">
      <c r="C8" s="40"/>
      <c r="D8" s="151"/>
      <c r="E8" s="158"/>
      <c r="F8" s="152"/>
      <c r="M8" s="61"/>
      <c r="R8" s="171"/>
    </row>
    <row r="9" spans="3:20" ht="16.149999999999999" thickBot="1" x14ac:dyDescent="0.35">
      <c r="D9" s="13" t="s">
        <v>86</v>
      </c>
      <c r="I9" t="s">
        <v>20</v>
      </c>
      <c r="M9" s="68"/>
    </row>
    <row r="10" spans="3:20" ht="13.25" thickBot="1" x14ac:dyDescent="0.3">
      <c r="C10" s="21"/>
      <c r="D10" s="37"/>
      <c r="F10" s="41" t="s">
        <v>101</v>
      </c>
      <c r="G10" s="19" t="s">
        <v>42</v>
      </c>
      <c r="H10" s="153" t="s">
        <v>43</v>
      </c>
      <c r="I10" s="169" t="s">
        <v>87</v>
      </c>
      <c r="L10" t="s">
        <v>0</v>
      </c>
      <c r="R10" s="1"/>
    </row>
    <row r="11" spans="3:20" x14ac:dyDescent="0.25">
      <c r="C11" s="33" t="s">
        <v>59</v>
      </c>
      <c r="D11" s="164" t="s">
        <v>5</v>
      </c>
      <c r="E11" s="201">
        <f>SUM(E6:E7)</f>
        <v>56.33</v>
      </c>
      <c r="F11" s="165">
        <f>(((F6*S38)/E11))+((F7*E7))/E11</f>
        <v>32387.513758210545</v>
      </c>
      <c r="G11" s="166">
        <f>IF(E11&lt;35,E11*2%,70%)</f>
        <v>0.7</v>
      </c>
      <c r="H11" s="154">
        <f>F11*G11</f>
        <v>22671.25963074738</v>
      </c>
      <c r="I11" s="170">
        <f>G11/E11</f>
        <v>1.2426770814841115E-2</v>
      </c>
      <c r="M11" s="64"/>
      <c r="R11" s="172"/>
    </row>
    <row r="12" spans="3:20" ht="13.25" thickBot="1" x14ac:dyDescent="0.3">
      <c r="C12" s="36" t="s">
        <v>60</v>
      </c>
      <c r="D12" s="167" t="s">
        <v>19</v>
      </c>
      <c r="E12" s="202">
        <f>IF(S38+E7&lt;35,S38+E7,35)</f>
        <v>35</v>
      </c>
      <c r="F12" s="38">
        <f>IF(($E$7+$S$38)&lt;=35,((F6*S38)+($F$7*E7))/E11,(((F6*S38)+(F7*(35-S38)))/E11))</f>
        <v>27122.22616722883</v>
      </c>
      <c r="G12" s="168">
        <f>IF(E12&lt;35,E12*2%,70%)</f>
        <v>0.7</v>
      </c>
      <c r="H12" s="155">
        <f>F12*G12</f>
        <v>18985.558317060179</v>
      </c>
      <c r="I12" s="170">
        <f>G12/E12</f>
        <v>0.02</v>
      </c>
      <c r="J12" t="s">
        <v>0</v>
      </c>
    </row>
    <row r="13" spans="3:20" x14ac:dyDescent="0.25">
      <c r="D13" s="31"/>
      <c r="E13" s="1"/>
      <c r="F13" s="28"/>
      <c r="G13" s="5"/>
      <c r="H13" s="5"/>
      <c r="I13" s="6"/>
      <c r="R13" s="57"/>
    </row>
    <row r="14" spans="3:20" ht="15.55" x14ac:dyDescent="0.3">
      <c r="C14" s="13" t="s">
        <v>44</v>
      </c>
      <c r="R14" s="173"/>
    </row>
    <row r="15" spans="3:20" x14ac:dyDescent="0.25">
      <c r="D15" t="s">
        <v>8</v>
      </c>
      <c r="F15" s="8">
        <v>0.02</v>
      </c>
      <c r="H15" s="6" t="s">
        <v>7</v>
      </c>
      <c r="I15" s="5" t="s">
        <v>0</v>
      </c>
      <c r="R15" s="174"/>
    </row>
    <row r="16" spans="3:20" x14ac:dyDescent="0.25">
      <c r="D16" s="1">
        <f>F16/$F$18</f>
        <v>1</v>
      </c>
      <c r="E16" s="1">
        <f>H16*$F$15</f>
        <v>0.72</v>
      </c>
      <c r="F16" s="28">
        <f>F6*E16</f>
        <v>30834</v>
      </c>
      <c r="G16" s="9">
        <f>H16/H18</f>
        <v>1</v>
      </c>
      <c r="H16">
        <f>+S38</f>
        <v>36</v>
      </c>
      <c r="I16" s="5" t="s">
        <v>2</v>
      </c>
    </row>
    <row r="17" spans="2:11" x14ac:dyDescent="0.25">
      <c r="D17" s="4">
        <f>F17/$F$18</f>
        <v>0</v>
      </c>
      <c r="E17" s="4">
        <f>H17*$F$15</f>
        <v>0</v>
      </c>
      <c r="F17" s="29">
        <f>F7*H17*F15</f>
        <v>0</v>
      </c>
      <c r="G17" s="10">
        <f>H17/H18</f>
        <v>0</v>
      </c>
      <c r="H17" s="12">
        <f>IF(H16&gt;35,0,35-H16)</f>
        <v>0</v>
      </c>
      <c r="I17" s="5" t="s">
        <v>3</v>
      </c>
    </row>
    <row r="18" spans="2:11" x14ac:dyDescent="0.25">
      <c r="D18" s="1">
        <f>SUM(D16:D17)</f>
        <v>1</v>
      </c>
      <c r="E18" s="7">
        <f>SUM(E16:E17)</f>
        <v>0.72</v>
      </c>
      <c r="F18" s="31">
        <f>SUM(F16:F17)</f>
        <v>30834</v>
      </c>
      <c r="G18" s="9">
        <f>SUM(G16:G17)</f>
        <v>1</v>
      </c>
      <c r="H18" s="5">
        <f>SUM(H16:H17)</f>
        <v>36</v>
      </c>
      <c r="I18" s="2" t="s">
        <v>6</v>
      </c>
      <c r="J18" t="s">
        <v>0</v>
      </c>
    </row>
    <row r="19" spans="2:11" x14ac:dyDescent="0.25">
      <c r="F19" s="25" t="s">
        <v>12</v>
      </c>
      <c r="I19" t="s">
        <v>0</v>
      </c>
    </row>
    <row r="20" spans="2:11" ht="15.55" x14ac:dyDescent="0.3">
      <c r="C20" s="13" t="s">
        <v>81</v>
      </c>
      <c r="G20" s="147">
        <f>S38+E7</f>
        <v>56.33</v>
      </c>
    </row>
    <row r="21" spans="2:11" x14ac:dyDescent="0.25">
      <c r="D21" t="s">
        <v>8</v>
      </c>
      <c r="E21" t="s">
        <v>10</v>
      </c>
      <c r="F21" s="8">
        <v>0.02</v>
      </c>
      <c r="H21" s="6" t="s">
        <v>7</v>
      </c>
      <c r="I21" s="6" t="s">
        <v>1</v>
      </c>
      <c r="J21" s="15" t="s">
        <v>0</v>
      </c>
      <c r="K21" s="15"/>
    </row>
    <row r="22" spans="2:11" x14ac:dyDescent="0.25">
      <c r="D22" s="9">
        <f>F22/F24</f>
        <v>0.84505020352982352</v>
      </c>
      <c r="E22" s="1">
        <f>H22*$F$15</f>
        <v>0.44736374933428019</v>
      </c>
      <c r="F22" s="28">
        <f>F6*$F$21*H22</f>
        <v>19158.352565240548</v>
      </c>
      <c r="G22" s="9">
        <f>H22/$H$24</f>
        <v>0.6390910704775431</v>
      </c>
      <c r="H22" s="2">
        <f>S38/$E$11*35</f>
        <v>22.368187466714009</v>
      </c>
      <c r="I22" s="5" t="s">
        <v>2</v>
      </c>
    </row>
    <row r="23" spans="2:11" x14ac:dyDescent="0.25">
      <c r="D23" s="10">
        <f>F23/F24</f>
        <v>0.15494979647017645</v>
      </c>
      <c r="E23" s="4">
        <f>H23*$F$15</f>
        <v>0.25263625066571987</v>
      </c>
      <c r="F23" s="29">
        <f>F7*$F$21*H23</f>
        <v>3512.9070655068349</v>
      </c>
      <c r="G23" s="10">
        <f>H23/$H$24</f>
        <v>0.36090892952245696</v>
      </c>
      <c r="H23" s="14">
        <f>E7/$E$11*35</f>
        <v>12.631812533285993</v>
      </c>
      <c r="I23" s="5" t="s">
        <v>3</v>
      </c>
    </row>
    <row r="24" spans="2:11" x14ac:dyDescent="0.25">
      <c r="D24" s="9">
        <f>SUM(D22:D23)</f>
        <v>1</v>
      </c>
      <c r="E24" s="7">
        <f>SUM(E22:E23)</f>
        <v>0.70000000000000007</v>
      </c>
      <c r="F24" s="31">
        <f>SUM(F22:F23)</f>
        <v>22671.259630747383</v>
      </c>
      <c r="G24" s="9">
        <f>SUM(G22:G23)</f>
        <v>1</v>
      </c>
      <c r="H24" s="5">
        <f>SUM(H22:H23)</f>
        <v>35</v>
      </c>
      <c r="I24" s="16" t="s">
        <v>9</v>
      </c>
      <c r="J24" t="s">
        <v>0</v>
      </c>
    </row>
    <row r="25" spans="2:11" x14ac:dyDescent="0.25">
      <c r="F25" s="24" t="s">
        <v>12</v>
      </c>
    </row>
    <row r="26" spans="2:11" ht="15.55" x14ac:dyDescent="0.3">
      <c r="D26" s="13" t="s">
        <v>15</v>
      </c>
    </row>
    <row r="27" spans="2:11" x14ac:dyDescent="0.25">
      <c r="F27" t="s">
        <v>0</v>
      </c>
    </row>
    <row r="28" spans="2:11" x14ac:dyDescent="0.25">
      <c r="D28" t="s">
        <v>8</v>
      </c>
      <c r="E28" t="s">
        <v>10</v>
      </c>
      <c r="F28" s="8">
        <v>0.02</v>
      </c>
      <c r="H28" s="6" t="s">
        <v>7</v>
      </c>
      <c r="I28" s="6" t="s">
        <v>1</v>
      </c>
    </row>
    <row r="29" spans="2:11" x14ac:dyDescent="0.25">
      <c r="D29" s="9">
        <f>F29/F31</f>
        <v>0.75489159175039666</v>
      </c>
      <c r="E29" s="1">
        <f>H29*$F$15</f>
        <v>0.35000000000000003</v>
      </c>
      <c r="F29" s="28">
        <f>H29*F6*$F$28</f>
        <v>14988.75</v>
      </c>
      <c r="G29" s="9">
        <f>H29/H31</f>
        <v>0.5</v>
      </c>
      <c r="H29" s="2">
        <v>17.5</v>
      </c>
      <c r="I29" s="5" t="s">
        <v>2</v>
      </c>
    </row>
    <row r="30" spans="2:11" x14ac:dyDescent="0.25">
      <c r="B30" s="1"/>
      <c r="C30" s="2"/>
      <c r="D30" s="10">
        <f>F30/F31</f>
        <v>0.24510840824960339</v>
      </c>
      <c r="E30" s="4">
        <f>H30*$F$15</f>
        <v>0.35000000000000003</v>
      </c>
      <c r="F30" s="29">
        <f>H30*F7*$F$28</f>
        <v>4866.75</v>
      </c>
      <c r="G30" s="10">
        <f>H30/$H$24</f>
        <v>0.5</v>
      </c>
      <c r="H30" s="11">
        <v>17.5</v>
      </c>
      <c r="I30" s="5" t="s">
        <v>3</v>
      </c>
    </row>
    <row r="31" spans="2:11" x14ac:dyDescent="0.25">
      <c r="B31" s="4"/>
      <c r="C31" s="2"/>
      <c r="D31" s="9">
        <f>SUM(D29:D30)</f>
        <v>1</v>
      </c>
      <c r="E31" s="7">
        <f>SUM(E29:E30)</f>
        <v>0.70000000000000007</v>
      </c>
      <c r="F31" s="31">
        <f>SUM(F29:F30)</f>
        <v>19855.5</v>
      </c>
      <c r="G31" s="9">
        <f>SUM(G29:G30)</f>
        <v>1</v>
      </c>
      <c r="H31" s="5">
        <f>SUM(H29:H30)</f>
        <v>35</v>
      </c>
      <c r="I31" s="16" t="s">
        <v>9</v>
      </c>
    </row>
    <row r="32" spans="2:11" ht="13.25" thickBot="1" x14ac:dyDescent="0.3">
      <c r="B32" s="1"/>
      <c r="C32" s="3"/>
      <c r="D32" s="3"/>
      <c r="F32" s="24" t="s">
        <v>12</v>
      </c>
      <c r="G32" s="5"/>
      <c r="H32" s="2"/>
    </row>
    <row r="33" spans="3:26" ht="13.25" thickBot="1" x14ac:dyDescent="0.3">
      <c r="F33" t="s">
        <v>96</v>
      </c>
      <c r="G33" s="196" t="s">
        <v>91</v>
      </c>
      <c r="H33" s="196" t="s">
        <v>51</v>
      </c>
      <c r="I33" s="190" t="s">
        <v>102</v>
      </c>
      <c r="J33" s="219" t="s">
        <v>95</v>
      </c>
      <c r="K33" s="218" t="s">
        <v>105</v>
      </c>
      <c r="L33" s="249" t="s">
        <v>92</v>
      </c>
      <c r="M33" s="19" t="s">
        <v>89</v>
      </c>
      <c r="N33" s="21" t="s">
        <v>51</v>
      </c>
      <c r="O33" s="211" t="s">
        <v>90</v>
      </c>
      <c r="P33" s="215" t="s">
        <v>105</v>
      </c>
      <c r="Q33" s="32" t="s">
        <v>104</v>
      </c>
      <c r="R33" s="37" t="s">
        <v>89</v>
      </c>
      <c r="S33" s="21" t="s">
        <v>91</v>
      </c>
    </row>
    <row r="34" spans="3:26" ht="13.25" thickBot="1" x14ac:dyDescent="0.3">
      <c r="D34" s="6" t="s">
        <v>88</v>
      </c>
      <c r="F34" s="179">
        <v>0.02</v>
      </c>
      <c r="G34" s="205" t="s">
        <v>103</v>
      </c>
      <c r="H34" s="197" t="s">
        <v>98</v>
      </c>
      <c r="I34" s="86" t="s">
        <v>97</v>
      </c>
      <c r="J34" s="189"/>
      <c r="K34" s="220" t="s">
        <v>106</v>
      </c>
      <c r="L34" s="188" t="s">
        <v>6</v>
      </c>
      <c r="M34" s="188"/>
      <c r="N34" s="86" t="s">
        <v>94</v>
      </c>
      <c r="O34" s="187"/>
      <c r="P34" s="193" t="s">
        <v>106</v>
      </c>
      <c r="Q34" s="248" t="s">
        <v>6</v>
      </c>
      <c r="R34" s="188"/>
      <c r="S34" s="86" t="s">
        <v>93</v>
      </c>
      <c r="U34" s="78"/>
      <c r="V34" s="78"/>
      <c r="W34" s="79"/>
      <c r="X34" s="78"/>
      <c r="Y34" s="80">
        <v>0.02</v>
      </c>
      <c r="Z34" s="81">
        <v>35</v>
      </c>
    </row>
    <row r="35" spans="3:26" ht="18.45" thickBot="1" x14ac:dyDescent="0.4">
      <c r="F35" s="171">
        <v>18218.628000000001</v>
      </c>
      <c r="G35" s="206">
        <v>26026.611428571428</v>
      </c>
      <c r="H35" s="191">
        <f>N35*K35</f>
        <v>8076.818571428571</v>
      </c>
      <c r="I35" s="192">
        <f>S35*P35</f>
        <v>17949.792857142857</v>
      </c>
      <c r="J35" s="178"/>
      <c r="K35" s="222">
        <f>L35/L36</f>
        <v>0.58085714285714285</v>
      </c>
      <c r="L35" s="185">
        <v>20.329999999999998</v>
      </c>
      <c r="M35" s="72" t="s">
        <v>89</v>
      </c>
      <c r="N35" s="186">
        <v>13905</v>
      </c>
      <c r="O35" s="208" t="s">
        <v>90</v>
      </c>
      <c r="P35" s="213">
        <f>Q35/Q36</f>
        <v>0.41914285714285715</v>
      </c>
      <c r="Q35" s="216">
        <v>14.67</v>
      </c>
      <c r="R35" s="217" t="s">
        <v>89</v>
      </c>
      <c r="S35" s="186">
        <v>42825</v>
      </c>
      <c r="U35" s="83"/>
      <c r="V35" s="84"/>
      <c r="W35" s="85" t="s">
        <v>63</v>
      </c>
      <c r="X35" s="86"/>
      <c r="Y35" s="87" t="s">
        <v>64</v>
      </c>
      <c r="Z35" s="88"/>
    </row>
    <row r="36" spans="3:26" ht="14.4" thickBot="1" x14ac:dyDescent="0.3">
      <c r="G36" s="189"/>
      <c r="H36" s="187"/>
      <c r="I36" s="86"/>
      <c r="K36" s="72"/>
      <c r="L36" s="221">
        <v>35</v>
      </c>
      <c r="M36" s="180"/>
      <c r="N36" s="184"/>
      <c r="P36" s="214"/>
      <c r="Q36" s="207">
        <v>35</v>
      </c>
      <c r="R36" s="180"/>
      <c r="S36" s="184"/>
      <c r="U36" s="90">
        <v>2</v>
      </c>
      <c r="V36" s="91"/>
      <c r="W36" s="92">
        <v>3</v>
      </c>
      <c r="X36" s="93">
        <v>4</v>
      </c>
      <c r="Y36" s="94">
        <v>5</v>
      </c>
      <c r="Z36" s="95">
        <v>6</v>
      </c>
    </row>
    <row r="37" spans="3:26" ht="13.85" x14ac:dyDescent="0.25">
      <c r="G37" s="180"/>
      <c r="H37" s="180"/>
      <c r="I37" s="180"/>
      <c r="J37" s="180"/>
      <c r="K37" s="180"/>
      <c r="L37" s="180"/>
      <c r="M37" s="72"/>
      <c r="N37" s="180"/>
      <c r="O37" s="180"/>
      <c r="P37" s="180"/>
      <c r="Q37" s="180"/>
      <c r="R37" s="180"/>
      <c r="S37" s="180"/>
      <c r="T37" s="184"/>
      <c r="U37" s="97" t="s">
        <v>57</v>
      </c>
      <c r="V37" s="98"/>
      <c r="W37" s="99" t="s">
        <v>66</v>
      </c>
      <c r="X37" s="100" t="s">
        <v>67</v>
      </c>
      <c r="Y37" s="101" t="s">
        <v>67</v>
      </c>
      <c r="Z37" s="102" t="s">
        <v>68</v>
      </c>
    </row>
    <row r="38" spans="3:26" x14ac:dyDescent="0.25">
      <c r="M38" s="243" t="s">
        <v>110</v>
      </c>
      <c r="N38" s="250">
        <v>20.329999999999998</v>
      </c>
      <c r="R38" s="243" t="s">
        <v>114</v>
      </c>
      <c r="S38" s="250">
        <v>36</v>
      </c>
      <c r="U38" s="104" t="s">
        <v>70</v>
      </c>
      <c r="V38" s="105"/>
      <c r="W38" s="106" t="s">
        <v>71</v>
      </c>
      <c r="X38" s="107" t="s">
        <v>72</v>
      </c>
      <c r="Y38" s="108" t="s">
        <v>73</v>
      </c>
      <c r="Z38" s="109" t="s">
        <v>74</v>
      </c>
    </row>
    <row r="39" spans="3:26" ht="14.4" thickBot="1" x14ac:dyDescent="0.3">
      <c r="F39" s="247" t="s">
        <v>112</v>
      </c>
      <c r="K39" s="5"/>
      <c r="M39" s="198" t="s">
        <v>51</v>
      </c>
      <c r="N39" s="251">
        <v>13905</v>
      </c>
      <c r="R39" s="198" t="s">
        <v>113</v>
      </c>
      <c r="S39" s="251">
        <v>42825</v>
      </c>
      <c r="U39" s="111">
        <v>0.02</v>
      </c>
      <c r="V39" s="105"/>
      <c r="W39" s="112">
        <v>34000</v>
      </c>
      <c r="X39" s="113" t="s">
        <v>75</v>
      </c>
      <c r="Y39" s="114" t="s">
        <v>75</v>
      </c>
      <c r="Z39" s="115" t="s">
        <v>76</v>
      </c>
    </row>
    <row r="40" spans="3:26" ht="17.850000000000001" x14ac:dyDescent="0.35">
      <c r="F40" s="237">
        <v>0.02</v>
      </c>
      <c r="G40" s="164"/>
      <c r="H40" s="232" t="s">
        <v>99</v>
      </c>
      <c r="I40" s="233"/>
      <c r="J40" s="5" t="s">
        <v>95</v>
      </c>
      <c r="K40" s="244" t="s">
        <v>111</v>
      </c>
      <c r="L40" s="257" t="s">
        <v>92</v>
      </c>
      <c r="M40" s="225" t="s">
        <v>89</v>
      </c>
      <c r="N40" s="234" t="s">
        <v>51</v>
      </c>
      <c r="O40" s="175" t="s">
        <v>90</v>
      </c>
      <c r="P40" s="224"/>
      <c r="Q40" s="32" t="s">
        <v>83</v>
      </c>
      <c r="R40" s="225" t="s">
        <v>89</v>
      </c>
      <c r="S40" s="234" t="s">
        <v>91</v>
      </c>
      <c r="U40" s="116">
        <v>0.7</v>
      </c>
      <c r="V40" s="117"/>
      <c r="W40" s="118"/>
      <c r="X40" s="119" t="s">
        <v>78</v>
      </c>
      <c r="Y40" s="120" t="s">
        <v>79</v>
      </c>
      <c r="Z40" s="121" t="s">
        <v>80</v>
      </c>
    </row>
    <row r="41" spans="3:26" ht="13.85" x14ac:dyDescent="0.25">
      <c r="C41" s="204" t="s">
        <v>0</v>
      </c>
      <c r="F41" s="262">
        <v>0.7</v>
      </c>
      <c r="G41" s="212"/>
      <c r="H41" s="194" t="s">
        <v>100</v>
      </c>
      <c r="I41" s="234" t="s">
        <v>2</v>
      </c>
      <c r="K41" s="123" t="s">
        <v>106</v>
      </c>
      <c r="L41" s="260" t="s">
        <v>65</v>
      </c>
      <c r="M41" s="72"/>
      <c r="N41" s="231"/>
      <c r="P41" s="212"/>
      <c r="Q41" s="194" t="s">
        <v>65</v>
      </c>
      <c r="R41" s="72"/>
      <c r="S41" s="226" t="s">
        <v>93</v>
      </c>
      <c r="U41" s="122" t="e">
        <f>IF(T110&lt;$H$2,T110*#REF!,(T110-(T110-$H$2))*#REF!)</f>
        <v>#REF!</v>
      </c>
      <c r="V41" s="117"/>
      <c r="W41" s="123">
        <f>IF(T110&gt;$B$7,T110-$B$7,0)</f>
        <v>20</v>
      </c>
      <c r="X41" s="124">
        <f>W41/T110</f>
        <v>1</v>
      </c>
      <c r="Y41" s="125">
        <f>IF(W41&gt;0,$B$7/T110,100%)</f>
        <v>0</v>
      </c>
      <c r="Z41" s="126">
        <f>Y41+X41</f>
        <v>1</v>
      </c>
    </row>
    <row r="42" spans="3:26" ht="13.85" x14ac:dyDescent="0.25">
      <c r="E42" s="61" t="s">
        <v>0</v>
      </c>
      <c r="G42" s="212"/>
      <c r="H42" s="72"/>
      <c r="I42" s="227"/>
      <c r="K42" s="245"/>
      <c r="L42" s="72"/>
      <c r="M42" s="72"/>
      <c r="N42" s="227"/>
      <c r="P42" s="212"/>
      <c r="Q42" s="72"/>
      <c r="R42" s="72"/>
      <c r="S42" s="227"/>
      <c r="U42" s="122" t="e">
        <f>IF(T111&lt;$H$2,T111*#REF!,(T111-(T111-$H$2))*#REF!)</f>
        <v>#REF!</v>
      </c>
      <c r="V42" s="117"/>
      <c r="W42" s="123">
        <f>IF(T111&gt;$B$7,T111-$B$7,0)</f>
        <v>25</v>
      </c>
      <c r="X42" s="124">
        <f>W42/T111</f>
        <v>1</v>
      </c>
      <c r="Y42" s="125">
        <f>IF(W42&gt;0,$B$7/T111,100%)</f>
        <v>0</v>
      </c>
      <c r="Z42" s="126">
        <f>Y42+X42</f>
        <v>1</v>
      </c>
    </row>
    <row r="43" spans="3:26" ht="18.45" thickBot="1" x14ac:dyDescent="0.4">
      <c r="D43" s="156"/>
      <c r="E43" s="238" t="s">
        <v>88</v>
      </c>
      <c r="F43" s="28">
        <f>(G43* F41)</f>
        <v>22671.25963074738</v>
      </c>
      <c r="G43" s="235">
        <f>I43+H43</f>
        <v>32387.513758210545</v>
      </c>
      <c r="H43" s="151">
        <f>N43*L43/L44</f>
        <v>5018.4386650097631</v>
      </c>
      <c r="I43" s="230">
        <f>S43*Q43/L44</f>
        <v>27369.075093200783</v>
      </c>
      <c r="K43" s="246">
        <f>L43/L44</f>
        <v>0.36090892952245696</v>
      </c>
      <c r="L43" s="256">
        <f>N38</f>
        <v>20.329999999999998</v>
      </c>
      <c r="M43" s="229" t="s">
        <v>89</v>
      </c>
      <c r="N43" s="230">
        <f>+F7</f>
        <v>13905</v>
      </c>
      <c r="O43" s="175" t="s">
        <v>90</v>
      </c>
      <c r="P43" s="228">
        <f>Q43/Q44</f>
        <v>0.6390910704775431</v>
      </c>
      <c r="Q43" s="258">
        <f>S38</f>
        <v>36</v>
      </c>
      <c r="R43" s="229" t="s">
        <v>89</v>
      </c>
      <c r="S43" s="230">
        <f>+F6</f>
        <v>42825</v>
      </c>
      <c r="U43" s="122" t="e">
        <f>IF(T112&lt;$B$17,T112*#REF!,(T112-(T112-$B$17))*#REF!)</f>
        <v>#REF!</v>
      </c>
      <c r="V43" s="127"/>
      <c r="W43" s="123">
        <f>IF(T112&gt;$B$7,T112-$B$7,0)</f>
        <v>30</v>
      </c>
      <c r="X43" s="124">
        <f>W43/T112</f>
        <v>1</v>
      </c>
      <c r="Y43" s="125">
        <f>IF(W43&gt;0,$B$7/T112,100%)</f>
        <v>0</v>
      </c>
      <c r="Z43" s="126">
        <f t="shared" ref="Z43:Z73" si="0">Y43+X43</f>
        <v>1</v>
      </c>
    </row>
    <row r="44" spans="3:26" ht="16.149999999999999" thickBot="1" x14ac:dyDescent="0.35">
      <c r="D44" s="265"/>
      <c r="E44" s="264" t="s">
        <v>109</v>
      </c>
      <c r="F44" s="263">
        <f>F43/Q44/G43</f>
        <v>1.2426770814841113E-2</v>
      </c>
      <c r="G44" s="236" t="s">
        <v>0</v>
      </c>
      <c r="H44" s="188"/>
      <c r="I44" s="86"/>
      <c r="K44" s="210"/>
      <c r="L44" s="242">
        <f>S38+E7</f>
        <v>56.33</v>
      </c>
      <c r="M44" s="188"/>
      <c r="N44" s="86"/>
      <c r="P44" s="187"/>
      <c r="Q44" s="242">
        <f>S38+E7</f>
        <v>56.33</v>
      </c>
      <c r="R44" s="188"/>
      <c r="S44" s="86"/>
      <c r="U44" s="122" t="e">
        <f>IF(T113&lt;$B$17,T113*#REF!,(T113-(T113-$B$17))*#REF!)</f>
        <v>#REF!</v>
      </c>
      <c r="V44" s="127"/>
      <c r="W44" s="123">
        <f>IF(T113&gt;$B$7,T113-$B$7,0)</f>
        <v>31</v>
      </c>
      <c r="X44" s="124">
        <f>W44/T113</f>
        <v>1</v>
      </c>
      <c r="Y44" s="125">
        <f>IF(W44&gt;0,$B$7/T113,100%)</f>
        <v>0</v>
      </c>
      <c r="Z44" s="126">
        <f t="shared" si="0"/>
        <v>1</v>
      </c>
    </row>
    <row r="45" spans="3:26" ht="14.4" thickBot="1" x14ac:dyDescent="0.3">
      <c r="C45" s="180"/>
      <c r="D45" s="180"/>
      <c r="E45" s="180"/>
      <c r="F45" s="180"/>
      <c r="G45" s="180" t="s">
        <v>0</v>
      </c>
      <c r="H45" s="180"/>
      <c r="I45" s="180"/>
      <c r="J45" s="72"/>
      <c r="K45" s="180"/>
      <c r="L45" s="180"/>
      <c r="M45" s="180"/>
      <c r="N45" s="180"/>
      <c r="O45" s="72"/>
      <c r="P45" s="180"/>
      <c r="Q45" s="180"/>
      <c r="R45" s="180"/>
      <c r="S45" s="180"/>
      <c r="T45" s="72"/>
      <c r="U45" s="261" t="e">
        <f>IF(T114&lt;$B$17,T114*#REF!,(T114-(T114-$B$17))*#REF!)</f>
        <v>#REF!</v>
      </c>
      <c r="V45" s="127"/>
      <c r="W45" s="123">
        <f>IF(T114&gt;$B$7,T114-$B$7,0)</f>
        <v>32</v>
      </c>
      <c r="X45" s="124">
        <f>W45/T114</f>
        <v>1</v>
      </c>
      <c r="Y45" s="125">
        <f>IF(W45&gt;0,$B$7/T114,100%)</f>
        <v>0</v>
      </c>
      <c r="Z45" s="126">
        <f t="shared" si="0"/>
        <v>1</v>
      </c>
    </row>
    <row r="46" spans="3:26" ht="13.85" x14ac:dyDescent="0.25">
      <c r="C46" s="72"/>
      <c r="D46" s="72"/>
      <c r="E46" s="72"/>
      <c r="F46" s="72"/>
      <c r="G46" s="72"/>
      <c r="H46" s="72"/>
      <c r="I46" s="72"/>
      <c r="J46" s="72"/>
      <c r="K46" s="72"/>
      <c r="L46" s="254" t="s">
        <v>92</v>
      </c>
      <c r="M46" s="72"/>
      <c r="N46" s="72"/>
      <c r="O46" s="72"/>
      <c r="P46" s="72"/>
      <c r="Q46" s="252" t="s">
        <v>104</v>
      </c>
      <c r="R46" s="72"/>
      <c r="S46" s="72"/>
      <c r="T46" s="72"/>
      <c r="U46" s="122"/>
      <c r="V46" s="127"/>
      <c r="W46" s="123"/>
      <c r="X46" s="124"/>
      <c r="Y46" s="125"/>
      <c r="Z46" s="126"/>
    </row>
    <row r="47" spans="3:26" ht="14.4" thickBot="1" x14ac:dyDescent="0.3">
      <c r="C47" s="72"/>
      <c r="D47" s="72"/>
      <c r="E47" s="72"/>
      <c r="F47" s="72"/>
      <c r="G47" s="72"/>
      <c r="H47" s="72"/>
      <c r="I47" s="72"/>
      <c r="J47" s="72"/>
      <c r="K47" s="72"/>
      <c r="L47" s="259" t="s">
        <v>6</v>
      </c>
      <c r="M47" s="72"/>
      <c r="N47" s="72"/>
      <c r="O47" s="72"/>
      <c r="P47" s="72"/>
      <c r="Q47" s="253" t="s">
        <v>6</v>
      </c>
      <c r="R47" s="72"/>
      <c r="S47" s="72"/>
      <c r="T47" s="72"/>
      <c r="U47" s="122"/>
      <c r="V47" s="127"/>
      <c r="W47" s="123"/>
      <c r="X47" s="124"/>
      <c r="Y47" s="125"/>
      <c r="Z47" s="126"/>
    </row>
    <row r="48" spans="3:26" ht="13.85" x14ac:dyDescent="0.25">
      <c r="C48" s="72"/>
      <c r="D48" s="72"/>
      <c r="E48" s="72"/>
      <c r="F48" s="266" t="s">
        <v>0</v>
      </c>
      <c r="H48" s="72"/>
      <c r="I48" s="72"/>
      <c r="J48" s="72"/>
      <c r="K48" s="72"/>
      <c r="L48" s="163" t="s">
        <v>116</v>
      </c>
      <c r="M48" s="72"/>
      <c r="N48" s="72"/>
      <c r="O48" s="72"/>
      <c r="P48" s="72"/>
      <c r="Q48" s="268"/>
      <c r="R48" s="72"/>
      <c r="S48" s="72"/>
      <c r="T48" s="72"/>
      <c r="U48" s="122"/>
      <c r="V48" s="127"/>
      <c r="W48" s="123"/>
      <c r="X48" s="124"/>
      <c r="Y48" s="125"/>
      <c r="Z48" s="126"/>
    </row>
    <row r="49" spans="4:26" ht="18.45" thickBot="1" x14ac:dyDescent="0.4">
      <c r="E49" s="239" t="s">
        <v>108</v>
      </c>
      <c r="F49" s="28">
        <f>((S49*Q49)+(N49*L49))*F40</f>
        <v>30555.9</v>
      </c>
      <c r="G49" s="199">
        <f>((S49*Q49)+(L49*N49))/(Q43+L43)</f>
        <v>27122.22616722883</v>
      </c>
      <c r="H49" s="199">
        <f>(N49*L49)/(Q49+L49)</f>
        <v>-397.28571428571428</v>
      </c>
      <c r="I49" s="28">
        <f>S49*Q49/(Q49+L49)</f>
        <v>44048.571428571428</v>
      </c>
      <c r="K49" s="223">
        <f>L49/(L49+Q49)</f>
        <v>-2.8571428571428571E-2</v>
      </c>
      <c r="L49" s="255">
        <f>IF((N38+S38)&lt;=35,N38,(35-S38))</f>
        <v>-1</v>
      </c>
      <c r="M49" s="61" t="s">
        <v>89</v>
      </c>
      <c r="N49" s="177">
        <f>F7</f>
        <v>13905</v>
      </c>
      <c r="O49" s="175" t="s">
        <v>90</v>
      </c>
      <c r="P49" s="223">
        <f>Q49/(Q49+L49)</f>
        <v>1.0285714285714285</v>
      </c>
      <c r="Q49" s="241">
        <f>S38</f>
        <v>36</v>
      </c>
      <c r="R49" s="5" t="s">
        <v>89</v>
      </c>
      <c r="S49" s="28">
        <f>+F6</f>
        <v>42825</v>
      </c>
      <c r="U49" s="122"/>
      <c r="V49" s="127"/>
      <c r="W49" s="123"/>
      <c r="X49" s="124"/>
      <c r="Y49" s="125"/>
      <c r="Z49" s="126"/>
    </row>
    <row r="50" spans="4:26" ht="16.149999999999999" thickBot="1" x14ac:dyDescent="0.35">
      <c r="D50" s="61" t="s">
        <v>115</v>
      </c>
      <c r="E50" s="240" t="s">
        <v>107</v>
      </c>
      <c r="F50" s="267">
        <f>F49/(S38+N38)/G49</f>
        <v>0.02</v>
      </c>
      <c r="Q50" s="203" t="s">
        <v>0</v>
      </c>
      <c r="U50" s="122" t="e">
        <f>IF(T115&lt;$B$17,T115*#REF!,(T115-(T115-$B$17))*#REF!)</f>
        <v>#REF!</v>
      </c>
      <c r="V50" s="127"/>
      <c r="W50" s="123">
        <f>IF(T115&gt;$B$7,T115-$B$7,0)</f>
        <v>33</v>
      </c>
      <c r="X50" s="124">
        <f>W50/T115</f>
        <v>1</v>
      </c>
      <c r="Y50" s="125">
        <f>IF(W50&gt;0,$B$7/T115,100%)</f>
        <v>0</v>
      </c>
      <c r="Z50" s="126">
        <f t="shared" si="0"/>
        <v>1</v>
      </c>
    </row>
    <row r="51" spans="4:26" ht="14.4" thickBot="1" x14ac:dyDescent="0.3">
      <c r="L51" s="177"/>
      <c r="N51" s="61"/>
      <c r="Q51" s="177"/>
      <c r="U51" s="129" t="e">
        <f>IF(T116&lt;$B$17,T116*#REF!,(T116-(T116-$B$17))*#REF!)</f>
        <v>#REF!</v>
      </c>
      <c r="V51" s="127"/>
      <c r="W51" s="123">
        <f>IF(T116&gt;$B$7,T116-$B$7,0)</f>
        <v>34</v>
      </c>
      <c r="X51" s="124">
        <f>W51/T116</f>
        <v>1</v>
      </c>
      <c r="Y51" s="125">
        <f>IF(W51&gt;0,$B$7/T116,100%)</f>
        <v>0</v>
      </c>
      <c r="Z51" s="126">
        <f t="shared" si="0"/>
        <v>1</v>
      </c>
    </row>
    <row r="52" spans="4:26" ht="14.4" thickBot="1" x14ac:dyDescent="0.3">
      <c r="F52" s="58" t="s">
        <v>0</v>
      </c>
      <c r="H52" s="28" t="s">
        <v>0</v>
      </c>
      <c r="I52" s="177" t="s">
        <v>0</v>
      </c>
      <c r="K52" s="72"/>
      <c r="L52" s="28" t="s">
        <v>0</v>
      </c>
      <c r="M52" s="61"/>
      <c r="O52" s="156"/>
      <c r="P52" s="156"/>
      <c r="R52" s="61"/>
      <c r="T52" s="28" t="s">
        <v>117</v>
      </c>
      <c r="U52" s="131" t="e">
        <f>IF(T117&lt;$B$17,T117*#REF!,(T117-(T117-$B$17))*#REF!)</f>
        <v>#REF!</v>
      </c>
      <c r="V52" s="132"/>
      <c r="W52" s="133">
        <f>IF(T117&gt;$B$7,T117-$B$7,0)</f>
        <v>35</v>
      </c>
      <c r="X52" s="134">
        <f>W52/T117</f>
        <v>1</v>
      </c>
      <c r="Y52" s="135">
        <f>IF(W52&gt;0,$B$7/T117,100%)</f>
        <v>0</v>
      </c>
      <c r="Z52" s="135">
        <f t="shared" si="0"/>
        <v>1</v>
      </c>
    </row>
    <row r="53" spans="4:26" ht="14.4" thickBot="1" x14ac:dyDescent="0.3">
      <c r="I53" s="176">
        <v>35</v>
      </c>
      <c r="L53" s="28"/>
      <c r="Q53" s="28"/>
      <c r="U53" s="131" t="e">
        <f>IF(T118&lt;$B$17,T118*#REF!,(T118-(T118-$B$17))*#REF!)</f>
        <v>#REF!</v>
      </c>
      <c r="V53" s="132"/>
      <c r="W53" s="133">
        <f>IF(T118&gt;$B$7,T118-$B$7,0)</f>
        <v>35.33</v>
      </c>
      <c r="X53" s="134">
        <f>W53/T118</f>
        <v>1</v>
      </c>
      <c r="Y53" s="135">
        <f>IF(W53&gt;0,$B$7/T118,100%)</f>
        <v>0</v>
      </c>
      <c r="Z53" s="135">
        <f t="shared" si="0"/>
        <v>1</v>
      </c>
    </row>
    <row r="54" spans="4:26" ht="13.85" x14ac:dyDescent="0.25">
      <c r="I54">
        <f>SUM(K54:L54)</f>
        <v>30.33</v>
      </c>
      <c r="K54">
        <v>20.329999999999998</v>
      </c>
      <c r="L54">
        <v>10</v>
      </c>
      <c r="U54" s="136" t="e">
        <f>IF(T119&lt;$B$17,T119*#REF!,(T119-(T119-$B$17))*#REF!)</f>
        <v>#REF!</v>
      </c>
      <c r="V54" s="137"/>
      <c r="W54" s="123">
        <f>IF(T119&gt;$B$7,T119-$B$7,0)</f>
        <v>36</v>
      </c>
      <c r="X54" s="124">
        <f>W54/T119</f>
        <v>1</v>
      </c>
      <c r="Y54" s="125">
        <f>IF(W54&gt;0,$B$7/T119,100%)</f>
        <v>0</v>
      </c>
      <c r="Z54" s="126">
        <f t="shared" si="0"/>
        <v>1</v>
      </c>
    </row>
    <row r="55" spans="4:26" ht="13.85" x14ac:dyDescent="0.25">
      <c r="I55">
        <f>SUM(K55:L55)</f>
        <v>35</v>
      </c>
      <c r="K55" s="65">
        <f>$I$53-($I$53-K54)</f>
        <v>20.329999999999998</v>
      </c>
      <c r="L55">
        <v>14.67</v>
      </c>
      <c r="Q55" t="s">
        <v>0</v>
      </c>
      <c r="U55" s="122" t="e">
        <f>IF(T120&lt;$B$17,T120*AB40,(T120-(T120-$B$17))*#REF!)</f>
        <v>#REF!</v>
      </c>
      <c r="V55" s="137"/>
      <c r="W55" s="123">
        <f>IF(T120&gt;$B$7,T120-$B$7,0)</f>
        <v>37</v>
      </c>
      <c r="X55" s="124">
        <f>W55/T120</f>
        <v>1</v>
      </c>
      <c r="Y55" s="125">
        <f>IF(W55&gt;0,$B$7/T120,100%)</f>
        <v>0</v>
      </c>
      <c r="Z55" s="126">
        <f t="shared" si="0"/>
        <v>1</v>
      </c>
    </row>
    <row r="56" spans="4:26" ht="13.85" x14ac:dyDescent="0.25">
      <c r="G56" s="65" t="s">
        <v>0</v>
      </c>
      <c r="H56" s="65">
        <f>(K56+L56)-((K56+L56)-35)</f>
        <v>35</v>
      </c>
      <c r="I56">
        <f>SUM(K56:L56)</f>
        <v>35.33</v>
      </c>
      <c r="K56" s="65">
        <f>K54</f>
        <v>20.329999999999998</v>
      </c>
      <c r="L56">
        <v>15</v>
      </c>
      <c r="U56" s="122" t="e">
        <f>IF(T121&lt;$B$17,T121*AB41,(T121-(T121-$B$17))*#REF!)</f>
        <v>#REF!</v>
      </c>
      <c r="V56" s="137"/>
      <c r="W56" s="123">
        <f>IF(T121&gt;$B$7,T121-$B$7,0)</f>
        <v>38</v>
      </c>
      <c r="X56" s="124">
        <f>W56/T121</f>
        <v>1</v>
      </c>
      <c r="Y56" s="125">
        <f>IF(W56&gt;0,$B$7/T121,100%)</f>
        <v>0</v>
      </c>
      <c r="Z56" s="126">
        <f t="shared" si="0"/>
        <v>1</v>
      </c>
    </row>
    <row r="57" spans="4:26" ht="13.85" x14ac:dyDescent="0.25">
      <c r="H57" s="65">
        <f>(K57+L57)-((K57+L57)-35)</f>
        <v>35</v>
      </c>
      <c r="I57">
        <f>SUM(K57:L57)</f>
        <v>55.33</v>
      </c>
      <c r="K57" s="65">
        <f>K55</f>
        <v>20.329999999999998</v>
      </c>
      <c r="L57">
        <v>35</v>
      </c>
      <c r="U57" s="122" t="e">
        <f>IF(T122&lt;$B$17,T122*AB43,(T122-(T122-$B$17))*#REF!)</f>
        <v>#REF!</v>
      </c>
      <c r="V57" s="137"/>
      <c r="W57" s="123">
        <f>IF(T122&gt;$B$7,T122-$B$7,0)</f>
        <v>39</v>
      </c>
      <c r="X57" s="124">
        <f>W57/T122</f>
        <v>1</v>
      </c>
      <c r="Y57" s="125">
        <f>IF(W57&gt;0,$B$7/T122,100%)</f>
        <v>0</v>
      </c>
      <c r="Z57" s="126">
        <f t="shared" si="0"/>
        <v>1</v>
      </c>
    </row>
    <row r="58" spans="4:26" ht="13.85" x14ac:dyDescent="0.25">
      <c r="H58" s="65">
        <f>(K58+L58)-((K58+L58)-35)</f>
        <v>35</v>
      </c>
      <c r="I58">
        <f>SUM(K58:L58)</f>
        <v>56.33</v>
      </c>
      <c r="K58" s="65">
        <f>K56</f>
        <v>20.329999999999998</v>
      </c>
      <c r="L58">
        <v>36</v>
      </c>
      <c r="U58" s="122" t="e">
        <f>IF(T123&lt;$B$17,T123*AB44,(T123-(T123-$B$17))*#REF!)</f>
        <v>#REF!</v>
      </c>
      <c r="V58" s="137"/>
      <c r="W58" s="123">
        <f>IF(T123&gt;$B$7,T123-$B$7,0)</f>
        <v>40</v>
      </c>
      <c r="X58" s="124">
        <f>W58/T123</f>
        <v>1</v>
      </c>
      <c r="Y58" s="125">
        <f>IF(W58&gt;0,$B$7/T123,100%)</f>
        <v>0</v>
      </c>
      <c r="Z58" s="126">
        <f t="shared" si="0"/>
        <v>1</v>
      </c>
    </row>
    <row r="59" spans="4:26" ht="15.55" x14ac:dyDescent="0.3">
      <c r="N59" s="61" t="s">
        <v>53</v>
      </c>
      <c r="O59" s="13"/>
      <c r="P59" s="13"/>
      <c r="Q59" s="13" t="s">
        <v>58</v>
      </c>
      <c r="R59" s="13"/>
      <c r="S59" s="13"/>
      <c r="T59" s="13"/>
      <c r="U59" s="122" t="e">
        <f>IF(T124&lt;$B$17,T124*AB45,(T124-(T124-$B$17))*#REF!)</f>
        <v>#REF!</v>
      </c>
      <c r="V59" s="137"/>
      <c r="W59" s="123">
        <f>IF(T124&gt;$B$7,T124-$B$7,0)</f>
        <v>41</v>
      </c>
      <c r="X59" s="124">
        <f>W59/T124</f>
        <v>1</v>
      </c>
      <c r="Y59" s="125">
        <f>IF(W59&gt;0,$B$7/T124,100%)</f>
        <v>0</v>
      </c>
      <c r="Z59" s="126">
        <f t="shared" si="0"/>
        <v>1</v>
      </c>
    </row>
    <row r="60" spans="4:26" ht="16.149999999999999" thickBot="1" x14ac:dyDescent="0.35">
      <c r="N60" s="13"/>
      <c r="O60" s="63">
        <v>8106.7</v>
      </c>
      <c r="P60" s="63"/>
      <c r="Q60" s="13"/>
      <c r="R60" s="62">
        <v>44</v>
      </c>
      <c r="S60" t="s">
        <v>48</v>
      </c>
      <c r="T60" s="22"/>
      <c r="U60" s="129" t="e">
        <f>IF(T125&lt;$B$17,T125*AB50,(T125-(T125-$B$17))*#REF!)</f>
        <v>#REF!</v>
      </c>
      <c r="V60" s="137"/>
      <c r="W60" s="123">
        <f>IF(T125&gt;$B$7,T125-$B$7,0)</f>
        <v>41.33</v>
      </c>
      <c r="X60" s="124">
        <f>W60/T125</f>
        <v>1</v>
      </c>
      <c r="Y60" s="125">
        <f>IF(W60&gt;0,$B$7/T125,100%)</f>
        <v>0</v>
      </c>
      <c r="Z60" s="126">
        <f t="shared" si="0"/>
        <v>1</v>
      </c>
    </row>
    <row r="61" spans="4:26" ht="16.149999999999999" thickBot="1" x14ac:dyDescent="0.35">
      <c r="L61" t="s">
        <v>118</v>
      </c>
      <c r="N61" s="67" t="s">
        <v>0</v>
      </c>
      <c r="Q61" s="61">
        <v>481.57</v>
      </c>
      <c r="S61" s="61" t="s">
        <v>49</v>
      </c>
      <c r="U61" s="138" t="e">
        <f>IF(T126&lt;$B$17,T126*AB51,(T126-(T126-$B$17))*#REF!)</f>
        <v>#REF!</v>
      </c>
      <c r="V61" s="137"/>
      <c r="W61" s="139">
        <f>IF(T126&gt;$B$7,T126-$B$7,0)</f>
        <v>42.33</v>
      </c>
      <c r="X61" s="140">
        <f>W61/T126</f>
        <v>1</v>
      </c>
      <c r="Y61" s="141">
        <f>$B$7/T126</f>
        <v>0</v>
      </c>
      <c r="Z61" s="126">
        <f t="shared" si="0"/>
        <v>1</v>
      </c>
    </row>
    <row r="62" spans="4:26" ht="14.4" thickBot="1" x14ac:dyDescent="0.3">
      <c r="Q62">
        <v>1783.47</v>
      </c>
      <c r="U62" s="136" t="e">
        <f>IF(T127&lt;$B$17,T127*AB52,(T127-(T127-$B$17))*#REF!)</f>
        <v>#REF!</v>
      </c>
      <c r="V62" s="137"/>
      <c r="W62" s="139">
        <f>IF(T127&gt;$B$7,T127-$B$7,0)</f>
        <v>42.67</v>
      </c>
      <c r="X62" s="135">
        <f>W62/T127</f>
        <v>1</v>
      </c>
      <c r="Y62" s="141">
        <f>$B$7/T127</f>
        <v>0</v>
      </c>
      <c r="Z62" s="126">
        <f t="shared" si="0"/>
        <v>1</v>
      </c>
    </row>
    <row r="63" spans="4:26" ht="13.85" x14ac:dyDescent="0.25">
      <c r="Q63" s="63">
        <v>356.04</v>
      </c>
      <c r="U63" s="122" t="e">
        <f>IF(T128&lt;$B$17,T128*#REF!,(T128-(T128-$B$17))*#REF!)</f>
        <v>#REF!</v>
      </c>
      <c r="V63" s="137"/>
      <c r="W63" s="123">
        <f>IF(T128&gt;$B$7,T128-$B$7,0)</f>
        <v>43.67</v>
      </c>
      <c r="X63" s="124">
        <f>W63/T128</f>
        <v>1</v>
      </c>
      <c r="Y63" s="125">
        <f>$B$7/T128</f>
        <v>0</v>
      </c>
      <c r="Z63" s="126">
        <f t="shared" si="0"/>
        <v>1</v>
      </c>
    </row>
    <row r="64" spans="4:26" ht="15.55" x14ac:dyDescent="0.4">
      <c r="N64" s="68" t="s">
        <v>0</v>
      </c>
      <c r="Q64" s="66">
        <v>429.11</v>
      </c>
      <c r="U64" s="122" t="e">
        <f>IF(T129&lt;$B$17,T129*AB54,(T129-(T129-$B$17))*#REF!)</f>
        <v>#REF!</v>
      </c>
      <c r="V64" s="137"/>
      <c r="W64" s="123">
        <f>IF(T129&gt;$B$7,T129-$B$7,0)</f>
        <v>44.67</v>
      </c>
      <c r="X64" s="124">
        <f>W64/T129</f>
        <v>1</v>
      </c>
      <c r="Y64" s="125">
        <f>$B$7/T129</f>
        <v>0</v>
      </c>
      <c r="Z64" s="126">
        <f t="shared" si="0"/>
        <v>1</v>
      </c>
    </row>
    <row r="65" spans="14:26" ht="15.55" x14ac:dyDescent="0.4">
      <c r="O65" s="66">
        <f>SUM(Q61:Q65)</f>
        <v>3050.19</v>
      </c>
      <c r="P65" s="66"/>
      <c r="Q65" s="61" t="s">
        <v>54</v>
      </c>
      <c r="R65" s="68" t="s">
        <v>0</v>
      </c>
      <c r="U65" s="122" t="e">
        <f>IF(T130&lt;$B$17,T130*AB55,(T130-(T130-$B$17))*#REF!)</f>
        <v>#REF!</v>
      </c>
      <c r="V65" s="137"/>
      <c r="W65" s="123">
        <f>IF(T130&gt;$B$7,T130-$B$7,0)</f>
        <v>45.67</v>
      </c>
      <c r="X65" s="124">
        <f>W65/T130</f>
        <v>1</v>
      </c>
      <c r="Y65" s="125">
        <f>$B$7/T130</f>
        <v>0</v>
      </c>
      <c r="Z65" s="126">
        <f t="shared" si="0"/>
        <v>1</v>
      </c>
    </row>
    <row r="66" spans="14:26" ht="13.85" x14ac:dyDescent="0.25">
      <c r="O66" s="71">
        <f>SUM(O60:O65)</f>
        <v>11156.89</v>
      </c>
      <c r="P66" s="71"/>
      <c r="Q66" s="5" t="s">
        <v>55</v>
      </c>
      <c r="U66" s="122" t="e">
        <f>IF(T131&lt;$B$17,T131*AB56,(T131-(T131-$B$17))*#REF!)</f>
        <v>#REF!</v>
      </c>
      <c r="V66" s="137"/>
      <c r="W66" s="123">
        <f>IF(T131&gt;$B$7,T131-$B$7,0)</f>
        <v>46.67</v>
      </c>
      <c r="X66" s="124">
        <f>W66/T131</f>
        <v>1</v>
      </c>
      <c r="Y66" s="125">
        <f>$B$7/T131</f>
        <v>0</v>
      </c>
      <c r="Z66" s="126">
        <f t="shared" si="0"/>
        <v>1</v>
      </c>
    </row>
    <row r="67" spans="14:26" ht="13.85" x14ac:dyDescent="0.25">
      <c r="N67" s="68" t="s">
        <v>0</v>
      </c>
      <c r="O67" s="69">
        <v>0.33360000000000001</v>
      </c>
      <c r="P67" s="69"/>
      <c r="Q67" s="70" t="s">
        <v>57</v>
      </c>
      <c r="U67" s="122" t="e">
        <f>IF(T132&lt;$B$17,T132*AB57,(T132-(T132-$B$17))*#REF!)</f>
        <v>#REF!</v>
      </c>
      <c r="V67" s="137"/>
      <c r="W67" s="123">
        <f>IF(T132&gt;$B$7,T132-$B$7,0)</f>
        <v>47.67</v>
      </c>
      <c r="X67" s="124">
        <f>W67/T132</f>
        <v>1</v>
      </c>
      <c r="Y67" s="125">
        <f>$B$7/T132</f>
        <v>0</v>
      </c>
      <c r="Z67" s="126">
        <f t="shared" si="0"/>
        <v>1</v>
      </c>
    </row>
    <row r="68" spans="14:26" ht="13.85" x14ac:dyDescent="0.25">
      <c r="O68" s="64">
        <f>O66*O67</f>
        <v>3721.9385039999997</v>
      </c>
      <c r="P68" s="64"/>
      <c r="Q68" s="61" t="s">
        <v>50</v>
      </c>
      <c r="U68" s="122" t="e">
        <f>IF(T133&lt;$B$17,T133*AB58,(T133-(T133-$B$17))*#REF!)</f>
        <v>#REF!</v>
      </c>
      <c r="V68" s="137"/>
      <c r="W68" s="123">
        <f>IF(T133&gt;$B$7,T133-$B$7,0)</f>
        <v>48.67</v>
      </c>
      <c r="X68" s="124">
        <f>W68/T133</f>
        <v>1</v>
      </c>
      <c r="Y68" s="125">
        <f>$B$7/T133</f>
        <v>0</v>
      </c>
      <c r="Z68" s="126">
        <f t="shared" si="0"/>
        <v>1</v>
      </c>
    </row>
    <row r="69" spans="14:26" ht="13.85" x14ac:dyDescent="0.25">
      <c r="O69">
        <v>138.97999999999999</v>
      </c>
      <c r="Q69" s="61" t="s">
        <v>56</v>
      </c>
      <c r="R69" s="64">
        <f>SUM(R65:R68)</f>
        <v>0</v>
      </c>
      <c r="U69" s="122" t="e">
        <f>IF(T134&lt;$B$17,T134*AB59,(T134-(T134-$B$17))*#REF!)</f>
        <v>#REF!</v>
      </c>
      <c r="V69" s="137"/>
      <c r="W69" s="123">
        <f>IF(T134&gt;$B$7,T134-$B$7,0)</f>
        <v>49.67</v>
      </c>
      <c r="X69" s="124">
        <f>W69/T134</f>
        <v>1</v>
      </c>
      <c r="Y69" s="125">
        <f>$B$7/T134</f>
        <v>0</v>
      </c>
      <c r="Z69" s="126">
        <f t="shared" si="0"/>
        <v>1</v>
      </c>
    </row>
    <row r="70" spans="14:26" ht="15.55" x14ac:dyDescent="0.4">
      <c r="O70" s="75">
        <f>SUM(O68:O69)</f>
        <v>3860.9185039999998</v>
      </c>
      <c r="P70" s="75"/>
      <c r="Q70" s="5" t="s">
        <v>52</v>
      </c>
      <c r="U70" s="122" t="e">
        <f>IF(T135&lt;$B$17,T135*AB60,(T135-(T135-$B$17))*#REF!)</f>
        <v>#REF!</v>
      </c>
      <c r="V70" s="137"/>
      <c r="W70" s="123">
        <f>IF(T135&gt;$B$7,T135-$B$7,0)</f>
        <v>55</v>
      </c>
      <c r="X70" s="124">
        <f>W70/T135</f>
        <v>1</v>
      </c>
      <c r="Y70" s="125">
        <f>$B$7/T135</f>
        <v>0</v>
      </c>
      <c r="Z70" s="126">
        <f t="shared" si="0"/>
        <v>1</v>
      </c>
    </row>
    <row r="71" spans="14:26" ht="14.4" thickBot="1" x14ac:dyDescent="0.3">
      <c r="N71" s="61" t="s">
        <v>0</v>
      </c>
      <c r="O71" s="73" t="s">
        <v>0</v>
      </c>
      <c r="P71" s="73"/>
      <c r="S71" s="150" t="s">
        <v>84</v>
      </c>
      <c r="U71" s="122" t="e">
        <f>IF(T136&lt;$B$17,T136*AB61,(T136-(T136-$B$17))*#REF!)</f>
        <v>#REF!</v>
      </c>
      <c r="V71" s="137"/>
      <c r="W71" s="123">
        <f>IF(T136&gt;$B$7,T136-$B$7,0)</f>
        <v>60</v>
      </c>
      <c r="X71" s="124">
        <f>W71/T136</f>
        <v>1</v>
      </c>
      <c r="Y71" s="125">
        <f>$B$7/T136</f>
        <v>0</v>
      </c>
      <c r="Z71" s="126">
        <f t="shared" si="0"/>
        <v>1</v>
      </c>
    </row>
    <row r="72" spans="14:26" ht="14.4" thickBot="1" x14ac:dyDescent="0.3">
      <c r="O72" s="74" t="s">
        <v>0</v>
      </c>
      <c r="P72" s="74"/>
      <c r="R72" t="s">
        <v>82</v>
      </c>
      <c r="S72" s="76" t="s">
        <v>85</v>
      </c>
      <c r="T72" s="149" t="s">
        <v>65</v>
      </c>
      <c r="U72" s="122" t="e">
        <f>IF(T137&lt;$B$17,T137*AB62,(T137-(T137-$B$17))*#REF!)</f>
        <v>#REF!</v>
      </c>
      <c r="V72" s="137"/>
      <c r="W72" s="123">
        <f>IF(T137&gt;$B$7,T137-$B$7,0)</f>
        <v>65</v>
      </c>
      <c r="X72" s="124">
        <f>W72/T137</f>
        <v>1</v>
      </c>
      <c r="Y72" s="125">
        <f>$B$7/T137</f>
        <v>0</v>
      </c>
      <c r="Z72" s="126">
        <f t="shared" si="0"/>
        <v>1</v>
      </c>
    </row>
    <row r="73" spans="14:26" ht="14.4" thickBot="1" x14ac:dyDescent="0.3">
      <c r="S73" s="96">
        <v>0</v>
      </c>
      <c r="T73" s="118">
        <v>20</v>
      </c>
      <c r="U73" s="122" t="e">
        <f>IF(T138&lt;$B$17,T138*AB63,(T138-(T138-$B$17))*#REF!)</f>
        <v>#REF!</v>
      </c>
      <c r="V73" s="137"/>
      <c r="W73" s="118">
        <f>IF(T138&gt;$B$7,T138-$B$7,0)</f>
        <v>70</v>
      </c>
      <c r="X73" s="143">
        <f>W73/T138</f>
        <v>1</v>
      </c>
      <c r="Y73" s="144">
        <f>$B$7/T138</f>
        <v>0</v>
      </c>
      <c r="Z73" s="145">
        <f t="shared" si="0"/>
        <v>1</v>
      </c>
    </row>
    <row r="74" spans="14:26" x14ac:dyDescent="0.25">
      <c r="S74">
        <f>T74-$E$7</f>
        <v>4.6700000000000017</v>
      </c>
      <c r="T74" s="96">
        <v>25</v>
      </c>
    </row>
    <row r="75" spans="14:26" x14ac:dyDescent="0.25">
      <c r="S75">
        <f>T75-$E$7</f>
        <v>9.6700000000000017</v>
      </c>
      <c r="T75" s="96">
        <v>30</v>
      </c>
    </row>
    <row r="76" spans="14:26" x14ac:dyDescent="0.25">
      <c r="S76">
        <f>T76-$E$7</f>
        <v>10.670000000000002</v>
      </c>
      <c r="T76" s="96">
        <f>T75+1</f>
        <v>31</v>
      </c>
    </row>
    <row r="77" spans="14:26" x14ac:dyDescent="0.25">
      <c r="S77">
        <f>T77-$E$7</f>
        <v>11.670000000000002</v>
      </c>
      <c r="T77" s="96">
        <f>T76+1</f>
        <v>32</v>
      </c>
    </row>
    <row r="78" spans="14:26" x14ac:dyDescent="0.25">
      <c r="Q78" s="72"/>
      <c r="S78">
        <f>T78-$E$7</f>
        <v>12.670000000000002</v>
      </c>
      <c r="T78" s="96">
        <f>T77+1</f>
        <v>33</v>
      </c>
    </row>
    <row r="79" spans="14:26" ht="13.25" thickBot="1" x14ac:dyDescent="0.3">
      <c r="S79">
        <f>T79-$E$7</f>
        <v>13.670000000000002</v>
      </c>
      <c r="T79" s="128">
        <f>T78+1</f>
        <v>34</v>
      </c>
    </row>
    <row r="80" spans="14:26" ht="13.25" thickBot="1" x14ac:dyDescent="0.3">
      <c r="S80">
        <f>T80-$E$7</f>
        <v>14.670000000000002</v>
      </c>
      <c r="T80" s="130">
        <f>T79+1</f>
        <v>35</v>
      </c>
    </row>
    <row r="81" spans="19:20" ht="13.25" thickBot="1" x14ac:dyDescent="0.3">
      <c r="S81">
        <f>T81-$E$7</f>
        <v>15</v>
      </c>
      <c r="T81" s="130">
        <f>T80+0.33</f>
        <v>35.33</v>
      </c>
    </row>
    <row r="82" spans="19:20" x14ac:dyDescent="0.25">
      <c r="S82">
        <f>T82-$E$7</f>
        <v>15.670000000000002</v>
      </c>
      <c r="T82" s="118">
        <f>T80+1</f>
        <v>36</v>
      </c>
    </row>
    <row r="83" spans="19:20" x14ac:dyDescent="0.25">
      <c r="S83">
        <f>T83-$E$7</f>
        <v>16.670000000000002</v>
      </c>
      <c r="T83" s="96">
        <f>T82+1</f>
        <v>37</v>
      </c>
    </row>
    <row r="84" spans="19:20" x14ac:dyDescent="0.25">
      <c r="S84">
        <f>T84-$E$7</f>
        <v>17.670000000000002</v>
      </c>
      <c r="T84" s="96">
        <f>T83+1</f>
        <v>38</v>
      </c>
    </row>
    <row r="85" spans="19:20" x14ac:dyDescent="0.25">
      <c r="S85">
        <f>T85-$E$7</f>
        <v>18.670000000000002</v>
      </c>
      <c r="T85" s="96">
        <f>T84+1</f>
        <v>39</v>
      </c>
    </row>
    <row r="86" spans="19:20" x14ac:dyDescent="0.25">
      <c r="S86">
        <f>T86-$E$7</f>
        <v>19.670000000000002</v>
      </c>
      <c r="T86" s="96">
        <f>T85+1</f>
        <v>40</v>
      </c>
    </row>
    <row r="87" spans="19:20" x14ac:dyDescent="0.25">
      <c r="S87">
        <f>T87-$E$7</f>
        <v>20.67</v>
      </c>
      <c r="T87" s="96">
        <f>T86+1</f>
        <v>41</v>
      </c>
    </row>
    <row r="88" spans="19:20" ht="13.25" thickBot="1" x14ac:dyDescent="0.3">
      <c r="S88">
        <f>T88-$E$7</f>
        <v>21</v>
      </c>
      <c r="T88" s="128">
        <f>T87+0.33</f>
        <v>41.33</v>
      </c>
    </row>
    <row r="89" spans="19:20" ht="13.25" thickBot="1" x14ac:dyDescent="0.3">
      <c r="S89">
        <f>T89-$E$7</f>
        <v>22</v>
      </c>
      <c r="T89" s="133">
        <f>T88+1</f>
        <v>42.33</v>
      </c>
    </row>
    <row r="90" spans="19:20" x14ac:dyDescent="0.25">
      <c r="S90">
        <f>T90-$E$7</f>
        <v>22.340000000000003</v>
      </c>
      <c r="T90" s="118">
        <f>T89+0.34</f>
        <v>42.67</v>
      </c>
    </row>
    <row r="91" spans="19:20" x14ac:dyDescent="0.25">
      <c r="S91">
        <f>T91-$E$7</f>
        <v>23.340000000000003</v>
      </c>
      <c r="T91" s="142">
        <f>T90+1</f>
        <v>43.67</v>
      </c>
    </row>
    <row r="92" spans="19:20" x14ac:dyDescent="0.25">
      <c r="S92">
        <f>T92-$E$7</f>
        <v>24.340000000000003</v>
      </c>
      <c r="T92" s="142">
        <f>T91+1</f>
        <v>44.67</v>
      </c>
    </row>
    <row r="93" spans="19:20" x14ac:dyDescent="0.25">
      <c r="S93">
        <f>T93-$E$7</f>
        <v>25.340000000000003</v>
      </c>
      <c r="T93" s="142">
        <f>T92+1</f>
        <v>45.67</v>
      </c>
    </row>
    <row r="94" spans="19:20" x14ac:dyDescent="0.25">
      <c r="S94">
        <f>T94-$E$7</f>
        <v>26.340000000000003</v>
      </c>
      <c r="T94" s="142">
        <f>T93+1</f>
        <v>46.67</v>
      </c>
    </row>
    <row r="95" spans="19:20" x14ac:dyDescent="0.25">
      <c r="S95">
        <f>T95-$E$7</f>
        <v>27.340000000000003</v>
      </c>
      <c r="T95" s="142">
        <f>T94+1</f>
        <v>47.67</v>
      </c>
    </row>
    <row r="96" spans="19:20" x14ac:dyDescent="0.25">
      <c r="S96">
        <f>T96-$E$7</f>
        <v>28.340000000000003</v>
      </c>
      <c r="T96" s="142">
        <f>T95+1</f>
        <v>48.67</v>
      </c>
    </row>
    <row r="97" spans="19:20" x14ac:dyDescent="0.25">
      <c r="S97">
        <f>T97-$E$7</f>
        <v>29.340000000000003</v>
      </c>
      <c r="T97" s="142">
        <f>T96+1</f>
        <v>49.67</v>
      </c>
    </row>
    <row r="98" spans="19:20" x14ac:dyDescent="0.25">
      <c r="S98">
        <f>T98-$E$7</f>
        <v>34.67</v>
      </c>
      <c r="T98" s="96">
        <v>55</v>
      </c>
    </row>
    <row r="99" spans="19:20" x14ac:dyDescent="0.25">
      <c r="S99">
        <f>T99-$E$7</f>
        <v>39.67</v>
      </c>
      <c r="T99" s="96">
        <v>60</v>
      </c>
    </row>
    <row r="100" spans="19:20" x14ac:dyDescent="0.25">
      <c r="S100">
        <f>T100-$E$7</f>
        <v>44.67</v>
      </c>
      <c r="T100" s="96">
        <v>65</v>
      </c>
    </row>
    <row r="101" spans="19:20" x14ac:dyDescent="0.25">
      <c r="S101">
        <f>T101-$E$7</f>
        <v>49.67</v>
      </c>
      <c r="T101" s="96">
        <v>70</v>
      </c>
    </row>
    <row r="102" spans="19:20" ht="13.25" thickBot="1" x14ac:dyDescent="0.3"/>
    <row r="103" spans="19:20" ht="18.45" thickBot="1" x14ac:dyDescent="0.4">
      <c r="T103" s="77" t="s">
        <v>61</v>
      </c>
    </row>
    <row r="104" spans="19:20" ht="18.45" thickBot="1" x14ac:dyDescent="0.4">
      <c r="T104" s="82" t="s">
        <v>62</v>
      </c>
    </row>
    <row r="105" spans="19:20" ht="13.85" x14ac:dyDescent="0.25">
      <c r="T105" s="89">
        <v>1</v>
      </c>
    </row>
    <row r="106" spans="19:20" x14ac:dyDescent="0.25">
      <c r="T106" s="96" t="s">
        <v>65</v>
      </c>
    </row>
    <row r="107" spans="19:20" x14ac:dyDescent="0.25">
      <c r="T107" s="103" t="s">
        <v>69</v>
      </c>
    </row>
    <row r="108" spans="19:20" x14ac:dyDescent="0.25">
      <c r="T108" s="110">
        <v>20</v>
      </c>
    </row>
    <row r="109" spans="19:20" x14ac:dyDescent="0.25">
      <c r="T109" s="110" t="s">
        <v>77</v>
      </c>
    </row>
    <row r="110" spans="19:20" x14ac:dyDescent="0.25">
      <c r="T110" s="96">
        <v>20</v>
      </c>
    </row>
    <row r="111" spans="19:20" x14ac:dyDescent="0.25">
      <c r="T111" s="96">
        <v>25</v>
      </c>
    </row>
    <row r="112" spans="19:20" x14ac:dyDescent="0.25">
      <c r="T112" s="96">
        <v>30</v>
      </c>
    </row>
    <row r="113" spans="20:20" x14ac:dyDescent="0.25">
      <c r="T113" s="96">
        <f>T112+1</f>
        <v>31</v>
      </c>
    </row>
    <row r="114" spans="20:20" x14ac:dyDescent="0.25">
      <c r="T114" s="96">
        <f t="shared" ref="T114:T116" si="1">T113+1</f>
        <v>32</v>
      </c>
    </row>
    <row r="115" spans="20:20" x14ac:dyDescent="0.25">
      <c r="T115" s="96">
        <f t="shared" si="1"/>
        <v>33</v>
      </c>
    </row>
    <row r="116" spans="20:20" ht="13.25" thickBot="1" x14ac:dyDescent="0.3">
      <c r="T116" s="128">
        <f t="shared" si="1"/>
        <v>34</v>
      </c>
    </row>
    <row r="117" spans="20:20" ht="13.25" thickBot="1" x14ac:dyDescent="0.3">
      <c r="T117" s="130">
        <f>T116+1</f>
        <v>35</v>
      </c>
    </row>
    <row r="118" spans="20:20" ht="13.25" thickBot="1" x14ac:dyDescent="0.3">
      <c r="T118" s="130">
        <f>T117+0.33</f>
        <v>35.33</v>
      </c>
    </row>
    <row r="119" spans="20:20" x14ac:dyDescent="0.25">
      <c r="T119" s="118">
        <f>T117+1</f>
        <v>36</v>
      </c>
    </row>
    <row r="120" spans="20:20" x14ac:dyDescent="0.25">
      <c r="T120" s="96">
        <f t="shared" ref="T120:T124" si="2">T119+1</f>
        <v>37</v>
      </c>
    </row>
    <row r="121" spans="20:20" x14ac:dyDescent="0.25">
      <c r="T121" s="96">
        <f t="shared" si="2"/>
        <v>38</v>
      </c>
    </row>
    <row r="122" spans="20:20" x14ac:dyDescent="0.25">
      <c r="T122" s="96">
        <f t="shared" si="2"/>
        <v>39</v>
      </c>
    </row>
    <row r="123" spans="20:20" x14ac:dyDescent="0.25">
      <c r="T123" s="96">
        <f t="shared" si="2"/>
        <v>40</v>
      </c>
    </row>
    <row r="124" spans="20:20" x14ac:dyDescent="0.25">
      <c r="T124" s="96">
        <f t="shared" si="2"/>
        <v>41</v>
      </c>
    </row>
    <row r="125" spans="20:20" ht="13.25" thickBot="1" x14ac:dyDescent="0.3">
      <c r="T125" s="128">
        <f>T124+0.33</f>
        <v>41.33</v>
      </c>
    </row>
    <row r="126" spans="20:20" ht="13.25" thickBot="1" x14ac:dyDescent="0.3">
      <c r="T126" s="133">
        <f>T125+1</f>
        <v>42.33</v>
      </c>
    </row>
    <row r="127" spans="20:20" x14ac:dyDescent="0.25">
      <c r="T127" s="118">
        <f>T126+0.34</f>
        <v>42.67</v>
      </c>
    </row>
    <row r="128" spans="20:20" x14ac:dyDescent="0.25">
      <c r="T128" s="142">
        <f>T127+1</f>
        <v>43.67</v>
      </c>
    </row>
    <row r="129" spans="20:20" x14ac:dyDescent="0.25">
      <c r="T129" s="142">
        <f>T128+1</f>
        <v>44.67</v>
      </c>
    </row>
    <row r="130" spans="20:20" x14ac:dyDescent="0.25">
      <c r="T130" s="142">
        <f t="shared" ref="T130:T134" si="3">T129+1</f>
        <v>45.67</v>
      </c>
    </row>
    <row r="131" spans="20:20" x14ac:dyDescent="0.25">
      <c r="T131" s="142">
        <f t="shared" si="3"/>
        <v>46.67</v>
      </c>
    </row>
    <row r="132" spans="20:20" x14ac:dyDescent="0.25">
      <c r="T132" s="142">
        <f t="shared" si="3"/>
        <v>47.67</v>
      </c>
    </row>
    <row r="133" spans="20:20" x14ac:dyDescent="0.25">
      <c r="T133" s="142">
        <f t="shared" si="3"/>
        <v>48.67</v>
      </c>
    </row>
    <row r="134" spans="20:20" x14ac:dyDescent="0.25">
      <c r="T134" s="142">
        <f t="shared" si="3"/>
        <v>49.67</v>
      </c>
    </row>
    <row r="135" spans="20:20" x14ac:dyDescent="0.25">
      <c r="T135" s="96">
        <v>55</v>
      </c>
    </row>
    <row r="136" spans="20:20" x14ac:dyDescent="0.25">
      <c r="T136" s="96">
        <v>60</v>
      </c>
    </row>
    <row r="137" spans="20:20" x14ac:dyDescent="0.25">
      <c r="T137" s="96">
        <v>65</v>
      </c>
    </row>
    <row r="138" spans="20:20" x14ac:dyDescent="0.25">
      <c r="T138" s="96">
        <v>70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סימולטור </vt:lpstr>
      <vt:lpstr>דרוג מחר</vt:lpstr>
      <vt:lpstr>סימולטור חוזה.נש"מ</vt:lpstr>
      <vt:lpstr>גיליון1</vt:lpstr>
      <vt:lpstr>סימולטור שיפוץ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שמעון</cp:lastModifiedBy>
  <dcterms:created xsi:type="dcterms:W3CDTF">2012-01-29T21:28:46Z</dcterms:created>
  <dcterms:modified xsi:type="dcterms:W3CDTF">2025-11-20T12:05:10Z</dcterms:modified>
</cp:coreProperties>
</file>