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שמעון\Documents\P\myself\גמלאות\"/>
    </mc:Choice>
  </mc:AlternateContent>
  <xr:revisionPtr revIDLastSave="0" documentId="13_ncr:1_{4A01B89F-55A7-4F2C-8F69-D62C7B04D57E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סימולטור " sheetId="1" r:id="rId1"/>
    <sheet name="דרוג מחר" sheetId="2" r:id="rId2"/>
    <sheet name="משכורות1.8.12 עד 31.3.14" sheetId="3" r:id="rId3"/>
    <sheet name="פנסיה בכירים עד 3.1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  <c r="B8" i="4"/>
  <c r="B9" i="4"/>
  <c r="B10" i="4"/>
  <c r="B11" i="4"/>
  <c r="B12" i="4"/>
  <c r="B13" i="4"/>
  <c r="B14" i="4"/>
  <c r="B15" i="4"/>
  <c r="B16" i="4"/>
  <c r="B17" i="4"/>
  <c r="B7" i="4"/>
  <c r="B6" i="4"/>
  <c r="C17" i="4" s="1"/>
  <c r="C5" i="4"/>
  <c r="C21" i="4" s="1"/>
  <c r="I38" i="3" l="1"/>
  <c r="K40" i="3" s="1"/>
  <c r="I40" i="3"/>
  <c r="I39" i="3"/>
  <c r="B35" i="3"/>
  <c r="B34" i="3"/>
  <c r="B33" i="3"/>
  <c r="I19" i="3" l="1"/>
  <c r="I20" i="3"/>
  <c r="I21" i="3"/>
  <c r="D20" i="3"/>
  <c r="H5" i="3"/>
  <c r="H4" i="3"/>
  <c r="I10" i="3"/>
  <c r="H11" i="3"/>
  <c r="H9" i="3"/>
  <c r="H8" i="3"/>
  <c r="I9" i="3" s="1"/>
  <c r="B25" i="3"/>
  <c r="I25" i="3" s="1"/>
  <c r="C4" i="3"/>
  <c r="C9" i="3"/>
  <c r="B12" i="3"/>
  <c r="C13" i="3" s="1"/>
  <c r="I13" i="3" s="1"/>
  <c r="B6" i="3"/>
  <c r="C7" i="3" s="1"/>
  <c r="I7" i="3" s="1"/>
  <c r="C28" i="3" l="1"/>
  <c r="J28" i="3" s="1"/>
  <c r="I27" i="3"/>
  <c r="I26" i="3"/>
  <c r="I24" i="3"/>
  <c r="I34" i="3"/>
  <c r="I23" i="3"/>
  <c r="I33" i="3"/>
  <c r="I35" i="3"/>
  <c r="I18" i="3"/>
  <c r="J18" i="3" s="1"/>
  <c r="H6" i="3"/>
  <c r="H12" i="3"/>
  <c r="B29" i="3"/>
  <c r="B15" i="3"/>
  <c r="H20" i="1"/>
  <c r="H19" i="1"/>
  <c r="H21" i="1" s="1"/>
  <c r="G13" i="1"/>
  <c r="K35" i="3" l="1"/>
  <c r="C17" i="3"/>
  <c r="B30" i="3"/>
  <c r="I30" i="3" s="1"/>
  <c r="I29" i="3"/>
  <c r="B16" i="3"/>
  <c r="G20" i="1"/>
  <c r="G19" i="1"/>
  <c r="E20" i="1"/>
  <c r="E19" i="1"/>
  <c r="J70" i="2"/>
  <c r="F70" i="2"/>
  <c r="C71" i="2"/>
  <c r="G15" i="1"/>
  <c r="E7" i="1"/>
  <c r="G21" i="1" l="1"/>
  <c r="J30" i="3"/>
  <c r="C18" i="3"/>
  <c r="G16" i="3"/>
  <c r="H16" i="3" s="1"/>
  <c r="E21" i="1"/>
  <c r="F19" i="1"/>
  <c r="Q9" i="1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H67" i="2" s="1"/>
  <c r="H69" i="2" s="1"/>
  <c r="AB9" i="2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4" i="1"/>
  <c r="H32" i="1"/>
  <c r="H25" i="1"/>
  <c r="F39" i="1"/>
  <c r="H41" i="1"/>
  <c r="G39" i="1" s="1"/>
  <c r="E39" i="1"/>
  <c r="E40" i="1"/>
  <c r="D53" i="2" l="1"/>
  <c r="D54" i="2" s="1"/>
  <c r="D55" i="2" s="1"/>
  <c r="D56" i="2" s="1"/>
  <c r="D63" i="2"/>
  <c r="H53" i="2"/>
  <c r="H54" i="2" s="1"/>
  <c r="H55" i="2" s="1"/>
  <c r="H56" i="2" s="1"/>
  <c r="H63" i="2"/>
  <c r="E53" i="2"/>
  <c r="E54" i="2" s="1"/>
  <c r="E55" i="2" s="1"/>
  <c r="E56" i="2" s="1"/>
  <c r="E63" i="2"/>
  <c r="F53" i="2"/>
  <c r="F54" i="2" s="1"/>
  <c r="F55" i="2" s="1"/>
  <c r="F56" i="2" s="1"/>
  <c r="F63" i="2"/>
  <c r="F71" i="2" s="1"/>
  <c r="C53" i="2"/>
  <c r="C63" i="2"/>
  <c r="G53" i="2"/>
  <c r="G54" i="2" s="1"/>
  <c r="G55" i="2" s="1"/>
  <c r="G56" i="2" s="1"/>
  <c r="G63" i="2"/>
  <c r="E8" i="1" s="1"/>
  <c r="I67" i="2"/>
  <c r="H26" i="1"/>
  <c r="H27" i="1" s="1"/>
  <c r="G25" i="1" s="1"/>
  <c r="E25" i="1"/>
  <c r="E41" i="1"/>
  <c r="F32" i="1"/>
  <c r="E32" i="1"/>
  <c r="H33" i="1"/>
  <c r="F20" i="1" l="1"/>
  <c r="F21" i="1" s="1"/>
  <c r="F13" i="1"/>
  <c r="D13" i="1" s="1"/>
  <c r="B13" i="1" s="1"/>
  <c r="F15" i="1"/>
  <c r="D15" i="1" s="1"/>
  <c r="B15" i="1" s="1"/>
  <c r="I69" i="2"/>
  <c r="K70" i="2"/>
  <c r="C54" i="2"/>
  <c r="C55" i="2" s="1"/>
  <c r="C56" i="2" s="1"/>
  <c r="C64" i="2" s="1"/>
  <c r="C62" i="2"/>
  <c r="G64" i="2"/>
  <c r="G62" i="2"/>
  <c r="F62" i="2"/>
  <c r="F64" i="2"/>
  <c r="L56" i="2"/>
  <c r="F72" i="2"/>
  <c r="C57" i="2"/>
  <c r="E64" i="2"/>
  <c r="E62" i="2"/>
  <c r="D62" i="2"/>
  <c r="D64" i="2"/>
  <c r="F14" i="1"/>
  <c r="F40" i="1"/>
  <c r="F41" i="1" s="1"/>
  <c r="D39" i="1" s="1"/>
  <c r="F26" i="1"/>
  <c r="F25" i="1"/>
  <c r="E33" i="1"/>
  <c r="E34" i="1" s="1"/>
  <c r="F33" i="1"/>
  <c r="F34" i="1" s="1"/>
  <c r="D32" i="1" s="1"/>
  <c r="H34" i="1"/>
  <c r="G26" i="1"/>
  <c r="G27" i="1" s="1"/>
  <c r="E26" i="1"/>
  <c r="E27" i="1" s="1"/>
  <c r="I71" i="2" l="1"/>
  <c r="J69" i="2"/>
  <c r="D20" i="1"/>
  <c r="D19" i="1"/>
  <c r="D21" i="1" s="1"/>
  <c r="D14" i="1"/>
  <c r="B14" i="1" s="1"/>
  <c r="L14" i="1"/>
  <c r="B20" i="3" s="1"/>
  <c r="G40" i="1"/>
  <c r="G41" i="1" s="1"/>
  <c r="G32" i="1"/>
  <c r="F27" i="1"/>
  <c r="D25" i="1" s="1"/>
  <c r="D33" i="1"/>
  <c r="D34" i="1" s="1"/>
  <c r="D40" i="1"/>
  <c r="D41" i="1" s="1"/>
  <c r="G33" i="1"/>
  <c r="B21" i="3" l="1"/>
  <c r="C22" i="3" s="1"/>
  <c r="I22" i="3" s="1"/>
  <c r="D26" i="1"/>
  <c r="D27" i="1" s="1"/>
  <c r="G34" i="1"/>
  <c r="J22" i="3" l="1"/>
  <c r="J31" i="3" s="1"/>
  <c r="K31" i="3" s="1"/>
  <c r="K36" i="3" s="1"/>
  <c r="K41" i="3" s="1"/>
  <c r="I31" i="3"/>
</calcChain>
</file>

<file path=xl/sharedStrings.xml><?xml version="1.0" encoding="utf-8"?>
<sst xmlns="http://schemas.openxmlformats.org/spreadsheetml/2006/main" count="164" uniqueCount="93">
  <si>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</si>
  <si>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</si>
  <si>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</si>
  <si>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</si>
  <si>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</si>
  <si>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</si>
  <si>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</si>
  <si>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</si>
  <si>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</si>
  <si>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</si>
  <si>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</si>
  <si>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</si>
  <si>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</si>
  <si>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</si>
  <si>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</si>
  <si>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</si>
  <si>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</si>
  <si>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</si>
  <si>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</si>
  <si>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</si>
  <si>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</si>
  <si>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</si>
  <si>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</si>
  <si>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</si>
  <si>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</si>
  <si>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</si>
  <si>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</si>
  <si>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</si>
  <si>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</si>
  <si>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</si>
  <si>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</si>
  <si>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</si>
  <si>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</si>
  <si>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</si>
  <si>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</si>
  <si>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</si>
  <si>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</si>
  <si>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</si>
  <si>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</si>
  <si>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</si>
  <si>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</si>
  <si>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</si>
  <si>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</si>
  <si>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</si>
  <si>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משכורת חוזה בכירים רמה א(90%מסגן שר)</t>
  </si>
  <si>
    <r>
      <t>משכורת ממוצעת (משוקלל) ב</t>
    </r>
    <r>
      <rPr>
        <b/>
        <u/>
        <sz val="10"/>
        <rFont val="Arial"/>
        <family val="2"/>
      </rPr>
      <t>כל</t>
    </r>
    <r>
      <rPr>
        <sz val="10"/>
        <rFont val="Arial"/>
        <family val="2"/>
      </rPr>
      <t xml:space="preserve"> תקופת העבודה</t>
    </r>
  </si>
  <si>
    <t>משכורת קובעת משוקללת</t>
  </si>
  <si>
    <t>שקלול משכורות בתקופת החוזה ותקופת כ. מינוי</t>
  </si>
  <si>
    <t xml:space="preserve">אלטרנטיבה1  כפול    35 חלקי כל תקופת העבודה </t>
  </si>
  <si>
    <t>שמשכורת אחרונה לתקופת החוזה והשלמה ל35 שנה בדרגה מח"ר</t>
  </si>
  <si>
    <t>חישוב מרכיבי הפנסיה ל35 שנה ע"פ יחס התקופת כ. מינוי /חוזה בכל תקופת השרות</t>
  </si>
  <si>
    <t>אלטרנטיבה 3</t>
  </si>
  <si>
    <t>דרגה</t>
  </si>
  <si>
    <t>חישוב מרכיבי הפנסיה 2% לשנה לכל התקופת השרות</t>
  </si>
  <si>
    <t>ע"פ החוזה</t>
  </si>
  <si>
    <t xml:space="preserve"> תלוש שכר</t>
  </si>
  <si>
    <t>נוסחת נש"מ</t>
  </si>
  <si>
    <t>סכום תביעה</t>
  </si>
  <si>
    <t>פנסיה נוכחית:</t>
  </si>
  <si>
    <t>לחודש</t>
  </si>
  <si>
    <t>מענק יובל</t>
  </si>
  <si>
    <t>משכורת</t>
  </si>
  <si>
    <t>ק השתלמות</t>
  </si>
  <si>
    <t>טלפון אישי</t>
  </si>
  <si>
    <t>רכב קבועות</t>
  </si>
  <si>
    <t>רכב משתנות</t>
  </si>
  <si>
    <t>ביגוד</t>
  </si>
  <si>
    <t>הבראה</t>
  </si>
  <si>
    <t>דמי כלכלה</t>
  </si>
  <si>
    <t xml:space="preserve">רישוי </t>
  </si>
  <si>
    <t>תשלומים חודשיים</t>
  </si>
  <si>
    <t>תשלום חד שנתי</t>
  </si>
  <si>
    <t>ס"ה</t>
  </si>
  <si>
    <t>גמולי השלמות</t>
  </si>
  <si>
    <t>ביטוחי רכב</t>
  </si>
  <si>
    <t>ס"ה לא לפנסיה</t>
  </si>
  <si>
    <t>כולל ק"ג 5%</t>
  </si>
  <si>
    <t>הוצ' רכב</t>
  </si>
  <si>
    <t>ס"ה החזר הוצאות</t>
  </si>
  <si>
    <t>ס"ה רכב:</t>
  </si>
  <si>
    <t xml:space="preserve">     ס"ה שכר חודשי</t>
  </si>
  <si>
    <t>ק"ג5%</t>
  </si>
  <si>
    <t>ס"ה תקבולים לחודש:</t>
  </si>
  <si>
    <t>ס"ה חד שנתי לא לפנסיה:</t>
  </si>
  <si>
    <t>ממוצע לפנס</t>
  </si>
  <si>
    <t>ערך שעה</t>
  </si>
  <si>
    <t xml:space="preserve">פדיון חופשה </t>
  </si>
  <si>
    <t>פדיון מחלה</t>
  </si>
  <si>
    <t>מענק</t>
  </si>
  <si>
    <t>פחות: פנסיה ששולמה עד 31.3.14</t>
  </si>
  <si>
    <t>תביעה נטו:</t>
  </si>
  <si>
    <t>ס"ה ל20 חודש</t>
  </si>
  <si>
    <r>
      <t xml:space="preserve">מלא </t>
    </r>
    <r>
      <rPr>
        <b/>
        <u/>
        <sz val="14"/>
        <color theme="5" tint="-0.249977111117893"/>
        <rFont val="Arial"/>
        <family val="2"/>
      </rPr>
      <t>רק</t>
    </r>
    <r>
      <rPr>
        <b/>
        <sz val="14"/>
        <color theme="5" tint="-0.249977111117893"/>
        <rFont val="Arial"/>
        <family val="2"/>
      </rPr>
      <t xml:space="preserve"> את הטורים "שנים" ו"דרגה"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</si>
</sst>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&quot;₪&quot;\ #,##0"/>
    <numFmt numFmtId="165" formatCode="&quot;₪&quot;\ #,##0.00"/>
    <numFmt numFmtId="166" formatCode="#,##0_ ;\-#,##0\ "/>
    <numFmt numFmtId="167" formatCode="0.000000%"/>
    <numFmt numFmtId="168" formatCode="_ * #,##0_ ;_ * \-#,##0_ ;_ * &quot;-&quot;??_ ;_ @_ "/>
    <numFmt numFmtId="169" formatCode="0.0%"/>
    <numFmt numFmtId="170" formatCode="_ * #,##0.000_ ;_ * \-#,##0.000_ ;_ * &quot;-&quot;_ ;_ @_ 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u/>
      <sz val="12"/>
      <name val="Arial"/>
      <family val="2"/>
    </font>
    <font>
      <sz val="10"/>
      <color theme="5" tint="-0.249977111117893"/>
      <name val="Arial"/>
      <family val="2"/>
    </font>
    <font>
      <b/>
      <u/>
      <sz val="10"/>
      <color theme="5" tint="-0.249977111117893"/>
      <name val="Arial"/>
      <family val="2"/>
    </font>
    <font>
      <u/>
      <sz val="10"/>
      <color theme="5" tint="-0.249977111117893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  <font>
      <b/>
      <u val="doubleAccounting"/>
      <sz val="12"/>
      <name val="Arial"/>
      <family val="2"/>
    </font>
    <font>
      <b/>
      <sz val="14"/>
      <color theme="5" tint="-0.249977111117893"/>
      <name val="Arial"/>
      <family val="2"/>
    </font>
    <font>
      <b/>
      <u/>
      <sz val="14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99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0" fontId="3" fillId="0" borderId="2" xfId="0" applyFon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1" applyFont="1"/>
    <xf numFmtId="10" fontId="0" fillId="0" borderId="0" xfId="0" applyNumberFormat="1"/>
    <xf numFmtId="14" fontId="1" fillId="0" borderId="0" xfId="0" applyNumberFormat="1" applyFont="1"/>
    <xf numFmtId="166" fontId="0" fillId="0" borderId="0" xfId="2" applyNumberFormat="1" applyFont="1"/>
    <xf numFmtId="3" fontId="2" fillId="0" borderId="0" xfId="0" applyNumberFormat="1" applyFont="1"/>
    <xf numFmtId="166" fontId="2" fillId="0" borderId="0" xfId="2" applyNumberFormat="1" applyFont="1"/>
    <xf numFmtId="10" fontId="2" fillId="0" borderId="0" xfId="1" applyNumberFormat="1" applyFont="1"/>
    <xf numFmtId="0" fontId="5" fillId="0" borderId="5" xfId="0" applyFont="1" applyBorder="1" applyAlignment="1">
      <alignment horizontal="left"/>
    </xf>
    <xf numFmtId="0" fontId="1" fillId="0" borderId="0" xfId="0" applyFont="1"/>
    <xf numFmtId="2" fontId="0" fillId="0" borderId="0" xfId="0" applyNumberFormat="1"/>
    <xf numFmtId="167" fontId="2" fillId="0" borderId="8" xfId="1" applyNumberFormat="1" applyFont="1" applyBorder="1"/>
    <xf numFmtId="4" fontId="1" fillId="0" borderId="0" xfId="0" applyNumberFormat="1" applyFont="1"/>
    <xf numFmtId="43" fontId="1" fillId="0" borderId="0" xfId="2" applyFont="1"/>
    <xf numFmtId="0" fontId="19" fillId="0" borderId="0" xfId="0" applyFont="1"/>
    <xf numFmtId="0" fontId="20" fillId="0" borderId="2" xfId="0" applyFont="1" applyBorder="1" applyAlignment="1">
      <alignment horizontal="center"/>
    </xf>
    <xf numFmtId="0" fontId="19" fillId="0" borderId="2" xfId="0" applyFont="1" applyBorder="1"/>
    <xf numFmtId="0" fontId="21" fillId="0" borderId="3" xfId="0" applyFont="1" applyBorder="1"/>
    <xf numFmtId="0" fontId="19" fillId="0" borderId="3" xfId="0" quotePrefix="1" applyFont="1" applyBorder="1" applyAlignment="1">
      <alignment horizontal="center"/>
    </xf>
    <xf numFmtId="0" fontId="0" fillId="0" borderId="3" xfId="0" applyBorder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0" fillId="0" borderId="10" xfId="0" applyNumberFormat="1" applyBorder="1"/>
    <xf numFmtId="0" fontId="3" fillId="0" borderId="9" xfId="0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168" fontId="0" fillId="0" borderId="0" xfId="2" applyNumberFormat="1" applyFont="1"/>
    <xf numFmtId="169" fontId="0" fillId="0" borderId="0" xfId="0" applyNumberFormat="1"/>
    <xf numFmtId="43" fontId="0" fillId="0" borderId="0" xfId="0" applyNumberFormat="1"/>
    <xf numFmtId="168" fontId="0" fillId="0" borderId="0" xfId="0" applyNumberFormat="1"/>
    <xf numFmtId="0" fontId="22" fillId="0" borderId="0" xfId="0" applyFont="1"/>
    <xf numFmtId="169" fontId="1" fillId="0" borderId="0" xfId="0" applyNumberFormat="1" applyFont="1" applyAlignment="1">
      <alignment horizontal="left"/>
    </xf>
    <xf numFmtId="168" fontId="23" fillId="0" borderId="0" xfId="0" applyNumberFormat="1" applyFont="1"/>
    <xf numFmtId="168" fontId="23" fillId="0" borderId="0" xfId="2" applyNumberFormat="1" applyFont="1"/>
    <xf numFmtId="168" fontId="1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left"/>
    </xf>
    <xf numFmtId="43" fontId="0" fillId="0" borderId="0" xfId="2" applyFont="1"/>
    <xf numFmtId="168" fontId="1" fillId="0" borderId="0" xfId="2" applyNumberFormat="1" applyFont="1"/>
    <xf numFmtId="170" fontId="15" fillId="0" borderId="0" xfId="0" applyNumberFormat="1" applyFont="1" applyAlignment="1">
      <alignment horizontal="center"/>
    </xf>
    <xf numFmtId="3" fontId="3" fillId="0" borderId="0" xfId="0" applyNumberFormat="1" applyFont="1"/>
    <xf numFmtId="168" fontId="24" fillId="0" borderId="0" xfId="0" applyNumberFormat="1" applyFont="1"/>
    <xf numFmtId="17" fontId="0" fillId="0" borderId="0" xfId="0" applyNumberFormat="1"/>
    <xf numFmtId="43" fontId="23" fillId="0" borderId="0" xfId="0" applyNumberFormat="1" applyFont="1"/>
    <xf numFmtId="0" fontId="25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tabSelected="1" workbookViewId="0">
      <selection activeCell="O5" sqref="O5"/>
    </sheetView>
  </sheetViews>
  <sheetFormatPr defaultRowHeight="12.7" x14ac:dyDescent="0.25"/>
  <cols>
    <col min="2" max="2" width="11" bestFit="1" customWidth="1"/>
    <col min="3" max="3" width="10.109375" customWidth="1"/>
    <col min="4" max="4" width="10.88671875" customWidth="1"/>
    <col min="5" max="5" width="9.109375" customWidth="1"/>
    <col min="6" max="6" width="10.88671875" customWidth="1"/>
    <col min="7" max="7" width="6.6640625" customWidth="1"/>
    <col min="8" max="8" width="9.6640625" customWidth="1"/>
    <col min="9" max="9" width="11.109375" customWidth="1"/>
    <col min="12" max="12" width="11" bestFit="1" customWidth="1"/>
  </cols>
  <sheetData>
    <row r="1" spans="2:18" s="13" customFormat="1" ht="15.55" x14ac:dyDescent="0.3">
      <c r="G1" s="21"/>
      <c r="J1" s="13" t="s">
        <v>13</v>
      </c>
    </row>
    <row r="2" spans="2:18" s="13" customFormat="1" ht="15.55" x14ac:dyDescent="0.3">
      <c r="I2" s="5" t="s">
        <v>15</v>
      </c>
    </row>
    <row r="3" spans="2:18" s="13" customFormat="1" ht="15.55" x14ac:dyDescent="0.3">
      <c r="B3" s="38">
        <v>18561.09</v>
      </c>
      <c r="C3" s="73" t="s">
        <v>58</v>
      </c>
      <c r="I3" s="13" t="s">
        <v>11</v>
      </c>
      <c r="O3" s="13">
        <v>36.64</v>
      </c>
    </row>
    <row r="4" spans="2:18" s="13" customFormat="1" ht="15.55" x14ac:dyDescent="0.3">
      <c r="B4" s="38"/>
      <c r="O4" s="13">
        <v>22.33</v>
      </c>
    </row>
    <row r="5" spans="2:18" s="13" customFormat="1" ht="18.45" thickBot="1" x14ac:dyDescent="0.4">
      <c r="E5"/>
      <c r="F5" s="67"/>
      <c r="G5" s="67"/>
      <c r="H5" s="98" t="s">
        <v>92</v>
      </c>
      <c r="I5"/>
    </row>
    <row r="6" spans="2:18" s="13" customFormat="1" ht="16.149999999999999" thickBot="1" x14ac:dyDescent="0.35">
      <c r="E6" s="17" t="s">
        <v>1</v>
      </c>
      <c r="F6" s="68" t="s">
        <v>4</v>
      </c>
      <c r="G6" s="68" t="s">
        <v>52</v>
      </c>
      <c r="H6" s="20"/>
      <c r="I6"/>
    </row>
    <row r="7" spans="2:18" x14ac:dyDescent="0.25">
      <c r="E7" s="25">
        <f>'דרוג מחר'!M63</f>
        <v>39617</v>
      </c>
      <c r="F7" s="69">
        <v>22.33</v>
      </c>
      <c r="G7" s="67"/>
      <c r="H7" s="22" t="s">
        <v>2</v>
      </c>
    </row>
    <row r="8" spans="2:18" ht="13.25" thickBot="1" x14ac:dyDescent="0.3">
      <c r="C8" s="66" t="s">
        <v>0</v>
      </c>
      <c r="E8" s="26">
        <f>IF(46=G8,'דרוג מחר'!L63,'דרוג מחר'!G63)</f>
        <v>12127.291557536159</v>
      </c>
      <c r="F8" s="70">
        <v>20.329999999999998</v>
      </c>
      <c r="G8" s="71">
        <v>44</v>
      </c>
      <c r="H8" s="37" t="s">
        <v>3</v>
      </c>
    </row>
    <row r="9" spans="2:18" x14ac:dyDescent="0.25">
      <c r="B9" s="38"/>
      <c r="C9" s="27"/>
      <c r="G9" s="62" t="s">
        <v>46</v>
      </c>
      <c r="L9" s="62" t="s">
        <v>45</v>
      </c>
      <c r="M9" s="61" t="s">
        <v>17</v>
      </c>
      <c r="Q9">
        <f>IF(R9=31/3/2014, 24, 22.33)</f>
        <v>22.33</v>
      </c>
      <c r="R9" s="56">
        <v>41729</v>
      </c>
    </row>
    <row r="10" spans="2:18" x14ac:dyDescent="0.25">
      <c r="B10" s="38"/>
      <c r="C10" s="38"/>
      <c r="L10" s="62" t="s">
        <v>49</v>
      </c>
      <c r="M10" s="61" t="s">
        <v>16</v>
      </c>
    </row>
    <row r="11" spans="2:18" ht="13.25" thickBot="1" x14ac:dyDescent="0.3">
      <c r="B11" s="5" t="s">
        <v>57</v>
      </c>
    </row>
    <row r="12" spans="2:18" x14ac:dyDescent="0.25">
      <c r="B12" s="74" t="s">
        <v>59</v>
      </c>
      <c r="D12" s="17" t="s">
        <v>42</v>
      </c>
      <c r="E12" s="18" t="s">
        <v>41</v>
      </c>
      <c r="F12" s="39" t="s">
        <v>20</v>
      </c>
      <c r="G12" s="30"/>
      <c r="H12" s="35"/>
      <c r="I12" s="20"/>
      <c r="J12" t="s">
        <v>19</v>
      </c>
      <c r="K12" t="s">
        <v>0</v>
      </c>
    </row>
    <row r="13" spans="2:18" ht="13.25" thickBot="1" x14ac:dyDescent="0.3">
      <c r="B13" s="38">
        <f>D13-$B$3</f>
        <v>4062.8189472941995</v>
      </c>
      <c r="C13" s="62" t="s">
        <v>54</v>
      </c>
      <c r="D13" s="32">
        <f>F13*F18*G13</f>
        <v>22623.9089472942</v>
      </c>
      <c r="E13" s="7">
        <v>1</v>
      </c>
      <c r="F13" s="27">
        <f>((E7*F7)+(E8*F8))/G13</f>
        <v>26516.536506439526</v>
      </c>
      <c r="G13" s="5">
        <f>SUM(F7:F8)</f>
        <v>42.66</v>
      </c>
      <c r="H13" s="5" t="s">
        <v>18</v>
      </c>
      <c r="I13" s="31" t="s">
        <v>17</v>
      </c>
      <c r="L13" s="76" t="s">
        <v>60</v>
      </c>
    </row>
    <row r="14" spans="2:18" ht="13.25" thickBot="1" x14ac:dyDescent="0.3">
      <c r="B14" s="38">
        <f>D14-$B$3</f>
        <v>2204.917880679659</v>
      </c>
      <c r="C14" s="62" t="s">
        <v>55</v>
      </c>
      <c r="D14" s="32">
        <f>F14*E14</f>
        <v>20766.007880679659</v>
      </c>
      <c r="E14" s="1">
        <v>0.7</v>
      </c>
      <c r="F14" s="27">
        <f>(($E$7*$F$7)+($E$8*(35-F7)))/G14</f>
        <v>29665.725543828088</v>
      </c>
      <c r="G14" s="5">
        <f>35</f>
        <v>35</v>
      </c>
      <c r="H14" s="5" t="s">
        <v>18</v>
      </c>
      <c r="I14" s="34" t="s">
        <v>16</v>
      </c>
      <c r="L14" s="75">
        <f>F14*0.6</f>
        <v>17799.435326296851</v>
      </c>
    </row>
    <row r="15" spans="2:18" ht="13.25" thickBot="1" x14ac:dyDescent="0.3">
      <c r="B15" s="38">
        <f>D15-$B$3</f>
        <v>0.48555450766798458</v>
      </c>
      <c r="C15" s="62" t="s">
        <v>56</v>
      </c>
      <c r="D15" s="32">
        <f>F15*E15</f>
        <v>18561.575554507668</v>
      </c>
      <c r="E15" s="33">
        <v>0.7</v>
      </c>
      <c r="F15" s="36">
        <f>(($E$7*$F$7)+($E$8* $F$8))/G15</f>
        <v>26516.536506439526</v>
      </c>
      <c r="G15" s="19">
        <f>SUM(F7:F8)</f>
        <v>42.66</v>
      </c>
      <c r="H15" s="72" t="s">
        <v>5</v>
      </c>
      <c r="I15" s="34" t="s">
        <v>51</v>
      </c>
    </row>
    <row r="16" spans="2:18" x14ac:dyDescent="0.25">
      <c r="D16" s="29"/>
      <c r="E16" s="1"/>
      <c r="F16" s="27"/>
      <c r="G16" s="5"/>
      <c r="I16" s="6"/>
    </row>
    <row r="17" spans="4:15" ht="15.55" x14ac:dyDescent="0.3">
      <c r="J17" s="13" t="s">
        <v>53</v>
      </c>
    </row>
    <row r="18" spans="4:15" x14ac:dyDescent="0.25">
      <c r="D18" t="s">
        <v>8</v>
      </c>
      <c r="E18" t="s">
        <v>10</v>
      </c>
      <c r="F18" s="8">
        <v>0.02</v>
      </c>
      <c r="H18" s="6" t="s">
        <v>7</v>
      </c>
      <c r="I18" s="6" t="s">
        <v>1</v>
      </c>
      <c r="J18" s="15" t="s">
        <v>0</v>
      </c>
      <c r="O18" s="62" t="s">
        <v>47</v>
      </c>
    </row>
    <row r="19" spans="4:15" x14ac:dyDescent="0.25">
      <c r="D19" s="9">
        <f>F19/F21</f>
        <v>0.78204664990556649</v>
      </c>
      <c r="E19" s="1">
        <f>H19*$F$24</f>
        <v>0.4466</v>
      </c>
      <c r="F19" s="27">
        <f>H19*$F$18*E7</f>
        <v>17692.9522</v>
      </c>
      <c r="G19" s="9">
        <f>H19/G13</f>
        <v>0.52344116268166896</v>
      </c>
      <c r="H19" s="2">
        <f>F7</f>
        <v>22.33</v>
      </c>
      <c r="I19" s="5" t="s">
        <v>2</v>
      </c>
      <c r="O19" s="62"/>
    </row>
    <row r="20" spans="4:15" x14ac:dyDescent="0.25">
      <c r="D20" s="10">
        <f>F20/F21</f>
        <v>0.21795335009443362</v>
      </c>
      <c r="E20" s="4">
        <f>H20*$F$24</f>
        <v>0.40659999999999996</v>
      </c>
      <c r="F20" s="27">
        <f>H20*$F$18*E8</f>
        <v>4930.9567472942017</v>
      </c>
      <c r="G20" s="10">
        <f>H20/G13</f>
        <v>0.47655883731833099</v>
      </c>
      <c r="H20" s="14">
        <f>F8</f>
        <v>20.329999999999998</v>
      </c>
      <c r="I20" s="5" t="s">
        <v>3</v>
      </c>
      <c r="O20" s="62"/>
    </row>
    <row r="21" spans="4:15" x14ac:dyDescent="0.25">
      <c r="D21" s="9">
        <f>SUM(D19:D20)</f>
        <v>1</v>
      </c>
      <c r="E21" s="7">
        <f>SUM(E19:E20)</f>
        <v>0.85319999999999996</v>
      </c>
      <c r="F21" s="29">
        <f>SUM(F19:F20)</f>
        <v>22623.9089472942</v>
      </c>
      <c r="G21" s="9">
        <f>SUM(G19:G20)</f>
        <v>1</v>
      </c>
      <c r="H21" s="5">
        <f>SUM(H19:H20)</f>
        <v>42.66</v>
      </c>
      <c r="I21" s="16" t="s">
        <v>9</v>
      </c>
      <c r="J21" t="s">
        <v>0</v>
      </c>
      <c r="O21" s="62"/>
    </row>
    <row r="22" spans="4:15" x14ac:dyDescent="0.25">
      <c r="F22" s="23" t="s">
        <v>12</v>
      </c>
      <c r="O22" s="24" t="s">
        <v>48</v>
      </c>
    </row>
    <row r="23" spans="4:15" ht="15.55" x14ac:dyDescent="0.3">
      <c r="J23" s="13" t="s">
        <v>43</v>
      </c>
      <c r="O23" s="24"/>
    </row>
    <row r="24" spans="4:15" x14ac:dyDescent="0.25">
      <c r="D24" t="s">
        <v>8</v>
      </c>
      <c r="F24" s="8">
        <v>0.02</v>
      </c>
      <c r="H24" s="6" t="s">
        <v>7</v>
      </c>
      <c r="I24" s="5" t="s">
        <v>0</v>
      </c>
      <c r="O24" s="24"/>
    </row>
    <row r="25" spans="4:15" ht="10.55" customHeight="1" x14ac:dyDescent="0.25">
      <c r="D25" s="1">
        <f>F25/$F$27</f>
        <v>0.85201509609659831</v>
      </c>
      <c r="E25" s="1">
        <f>H25*$F$24</f>
        <v>0.4466</v>
      </c>
      <c r="F25" s="27">
        <f>E7*E25</f>
        <v>17692.9522</v>
      </c>
      <c r="G25" s="9">
        <f>H25/H27</f>
        <v>0.6379999999999999</v>
      </c>
      <c r="H25">
        <f>+F7</f>
        <v>22.33</v>
      </c>
      <c r="I25" s="5" t="s">
        <v>2</v>
      </c>
      <c r="O25" s="24"/>
    </row>
    <row r="26" spans="4:15" x14ac:dyDescent="0.25">
      <c r="D26" s="4">
        <f>F26/$F$27</f>
        <v>0.14798490390340174</v>
      </c>
      <c r="E26" s="4">
        <f>H26*$F$24</f>
        <v>0.25340000000000001</v>
      </c>
      <c r="F26" s="28">
        <f>E8*H26*F24</f>
        <v>3073.0556806796631</v>
      </c>
      <c r="G26" s="10">
        <f>H26/H27</f>
        <v>0.36200000000000004</v>
      </c>
      <c r="H26" s="12">
        <f>IF(H25&gt;35,0,35-H25)</f>
        <v>12.670000000000002</v>
      </c>
      <c r="I26" s="5" t="s">
        <v>3</v>
      </c>
      <c r="O26" s="24"/>
    </row>
    <row r="27" spans="4:15" x14ac:dyDescent="0.25">
      <c r="D27" s="1">
        <f>SUM(D25:D26)</f>
        <v>1</v>
      </c>
      <c r="E27" s="7">
        <f>SUM(E25:E26)</f>
        <v>0.7</v>
      </c>
      <c r="F27" s="29">
        <f>SUM(F25:F26)</f>
        <v>20766.007880679663</v>
      </c>
      <c r="G27" s="9">
        <f>SUM(G25:G26)</f>
        <v>1</v>
      </c>
      <c r="H27" s="5">
        <f>SUM(H25:H26)</f>
        <v>35</v>
      </c>
      <c r="I27" s="2" t="s">
        <v>6</v>
      </c>
      <c r="J27" t="s">
        <v>0</v>
      </c>
      <c r="O27" s="24"/>
    </row>
    <row r="28" spans="4:15" x14ac:dyDescent="0.25">
      <c r="F28" s="24" t="s">
        <v>12</v>
      </c>
      <c r="I28" t="s">
        <v>0</v>
      </c>
      <c r="O28" s="24"/>
    </row>
    <row r="29" spans="4:15" x14ac:dyDescent="0.25">
      <c r="F29" s="23"/>
      <c r="O29" s="24"/>
    </row>
    <row r="30" spans="4:15" ht="15.55" x14ac:dyDescent="0.3">
      <c r="J30" s="13" t="s">
        <v>50</v>
      </c>
    </row>
    <row r="31" spans="4:15" x14ac:dyDescent="0.25">
      <c r="D31" t="s">
        <v>8</v>
      </c>
      <c r="E31" t="s">
        <v>10</v>
      </c>
      <c r="F31" s="8">
        <v>0.02</v>
      </c>
      <c r="H31" s="6" t="s">
        <v>7</v>
      </c>
      <c r="I31" s="6" t="s">
        <v>1</v>
      </c>
      <c r="J31" s="15" t="s">
        <v>0</v>
      </c>
    </row>
    <row r="32" spans="4:15" x14ac:dyDescent="0.25">
      <c r="D32" s="9">
        <f>F32/F34</f>
        <v>0.78204664990556638</v>
      </c>
      <c r="E32" s="1">
        <f>H32*$F$24</f>
        <v>0.36640881387716823</v>
      </c>
      <c r="F32" s="27">
        <f>E7*$F$31*H32</f>
        <v>14516.017979371774</v>
      </c>
      <c r="G32" s="9">
        <f>H32/$H$34</f>
        <v>0.52344116268166896</v>
      </c>
      <c r="H32" s="2">
        <f>F7/$G$15*35</f>
        <v>18.320440693858412</v>
      </c>
      <c r="I32" s="5" t="s">
        <v>2</v>
      </c>
    </row>
    <row r="33" spans="2:10" x14ac:dyDescent="0.25">
      <c r="D33" s="10">
        <f>F33/F34</f>
        <v>0.21795335009443365</v>
      </c>
      <c r="E33" s="4">
        <f>H33*$F$24</f>
        <v>0.33359118612283167</v>
      </c>
      <c r="F33" s="28">
        <f>E8*$F$31*H33</f>
        <v>4045.5575751358901</v>
      </c>
      <c r="G33" s="10">
        <f>H33/$H$34</f>
        <v>0.47655883731833099</v>
      </c>
      <c r="H33" s="14">
        <f>F8/$G$15*35</f>
        <v>16.679559306141584</v>
      </c>
      <c r="I33" s="5" t="s">
        <v>3</v>
      </c>
    </row>
    <row r="34" spans="2:10" x14ac:dyDescent="0.25">
      <c r="D34" s="9">
        <f>SUM(D32:D33)</f>
        <v>1</v>
      </c>
      <c r="E34" s="7">
        <f>SUM(E32:E33)</f>
        <v>0.7</v>
      </c>
      <c r="F34" s="29">
        <f>SUM(F32:F33)</f>
        <v>18561.575554507664</v>
      </c>
      <c r="G34" s="9">
        <f>SUM(G32:G33)</f>
        <v>1</v>
      </c>
      <c r="H34" s="5">
        <f>SUM(H32:H33)</f>
        <v>35</v>
      </c>
      <c r="I34" s="16" t="s">
        <v>9</v>
      </c>
      <c r="J34" t="s">
        <v>0</v>
      </c>
    </row>
    <row r="35" spans="2:10" x14ac:dyDescent="0.25">
      <c r="F35" s="23" t="s">
        <v>12</v>
      </c>
    </row>
    <row r="36" spans="2:10" ht="15.55" x14ac:dyDescent="0.3">
      <c r="B36" s="4"/>
      <c r="J36" s="13" t="s">
        <v>14</v>
      </c>
    </row>
    <row r="37" spans="2:10" x14ac:dyDescent="0.25">
      <c r="B37" s="1"/>
      <c r="F37" t="s">
        <v>0</v>
      </c>
    </row>
    <row r="38" spans="2:10" x14ac:dyDescent="0.25">
      <c r="D38" t="s">
        <v>8</v>
      </c>
      <c r="E38" t="s">
        <v>10</v>
      </c>
      <c r="F38" s="8">
        <v>0.02</v>
      </c>
      <c r="H38" s="6" t="s">
        <v>7</v>
      </c>
      <c r="I38" s="6" t="s">
        <v>1</v>
      </c>
    </row>
    <row r="39" spans="2:10" x14ac:dyDescent="0.25">
      <c r="D39" s="9">
        <f>F39/F41</f>
        <v>0.76563034892358273</v>
      </c>
      <c r="E39" s="1">
        <f>H39*$F$24</f>
        <v>0.35000000000000003</v>
      </c>
      <c r="F39" s="27">
        <f>H39*E7*$F$38</f>
        <v>13865.95</v>
      </c>
      <c r="G39" s="9">
        <f>H39/H41</f>
        <v>0.5</v>
      </c>
      <c r="H39" s="2">
        <v>17.5</v>
      </c>
      <c r="I39" s="5" t="s">
        <v>2</v>
      </c>
    </row>
    <row r="40" spans="2:10" x14ac:dyDescent="0.25">
      <c r="C40" s="2"/>
      <c r="D40" s="10">
        <f>F40/F41</f>
        <v>0.23436965107641736</v>
      </c>
      <c r="E40" s="4">
        <f>H40*$F$24</f>
        <v>0.35000000000000003</v>
      </c>
      <c r="F40" s="28">
        <f>H40*E8*$F$38</f>
        <v>4244.5520451376551</v>
      </c>
      <c r="G40" s="10">
        <f>H40/$H$34</f>
        <v>0.5</v>
      </c>
      <c r="H40" s="11">
        <v>17.5</v>
      </c>
      <c r="I40" s="5" t="s">
        <v>3</v>
      </c>
    </row>
    <row r="41" spans="2:10" x14ac:dyDescent="0.25">
      <c r="C41" s="2"/>
      <c r="D41" s="9">
        <f>SUM(D39:D40)</f>
        <v>1</v>
      </c>
      <c r="E41" s="7">
        <f>SUM(E39:E40)</f>
        <v>0.70000000000000007</v>
      </c>
      <c r="F41" s="29">
        <f>SUM(F39:F40)</f>
        <v>18110.502045137655</v>
      </c>
      <c r="G41" s="9">
        <f>SUM(G39:G40)</f>
        <v>1</v>
      </c>
      <c r="H41" s="5">
        <f>SUM(H39:H40)</f>
        <v>35</v>
      </c>
      <c r="I41" s="16" t="s">
        <v>9</v>
      </c>
    </row>
    <row r="42" spans="2:10" x14ac:dyDescent="0.25">
      <c r="C42" s="3"/>
      <c r="D42" s="3"/>
      <c r="F42" s="23" t="s">
        <v>12</v>
      </c>
      <c r="G42" s="5"/>
      <c r="H42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2"/>
  <sheetViews>
    <sheetView topLeftCell="A77" workbookViewId="0">
      <selection activeCell="M58" sqref="M57:M58"/>
    </sheetView>
  </sheetViews>
  <sheetFormatPr defaultRowHeight="12.7" x14ac:dyDescent="0.25"/>
  <cols>
    <col min="1" max="1" width="10" customWidth="1"/>
    <col min="2" max="2" width="11.33203125" bestFit="1" customWidth="1"/>
    <col min="3" max="3" width="12.5546875" bestFit="1" customWidth="1"/>
    <col min="6" max="6" width="9.88671875" customWidth="1"/>
    <col min="14" max="14" width="11.6640625" bestFit="1" customWidth="1"/>
  </cols>
  <sheetData>
    <row r="1" spans="2:30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55" x14ac:dyDescent="0.3">
      <c r="B2" s="2"/>
      <c r="C2" s="2"/>
      <c r="D2" s="2"/>
      <c r="E2" s="2"/>
      <c r="F2" s="2"/>
      <c r="G2" s="2"/>
      <c r="J2" s="40"/>
      <c r="K2" s="40" t="s">
        <v>21</v>
      </c>
      <c r="L2" s="40"/>
      <c r="M2" s="40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55" x14ac:dyDescent="0.3">
      <c r="B3" s="2"/>
      <c r="C3" s="2"/>
      <c r="D3" s="2"/>
      <c r="E3" s="2"/>
      <c r="F3" s="2"/>
      <c r="I3" s="40"/>
      <c r="K3" s="42" t="s">
        <v>22</v>
      </c>
      <c r="L3" s="40"/>
      <c r="M3" s="40"/>
      <c r="N3" s="41"/>
      <c r="O3" s="4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55" x14ac:dyDescent="0.3">
      <c r="B4" s="2"/>
      <c r="C4" s="2"/>
      <c r="D4" s="2"/>
      <c r="E4" s="2"/>
      <c r="F4" s="2"/>
      <c r="G4" s="2"/>
      <c r="H4" s="42"/>
      <c r="I4" s="42" t="s">
        <v>23</v>
      </c>
      <c r="J4" s="42" t="s">
        <v>24</v>
      </c>
      <c r="K4" s="42"/>
      <c r="L4" s="42"/>
      <c r="M4" s="4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55" x14ac:dyDescent="0.3">
      <c r="B5" s="2"/>
      <c r="C5" s="2"/>
      <c r="D5" s="2"/>
      <c r="E5" s="2"/>
      <c r="F5" s="2"/>
      <c r="G5" s="2"/>
      <c r="H5" s="42"/>
      <c r="I5" s="42"/>
      <c r="J5" s="42"/>
      <c r="K5" s="42"/>
      <c r="L5" s="42"/>
      <c r="M5" s="4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55" x14ac:dyDescent="0.3">
      <c r="B6" s="43" t="s">
        <v>25</v>
      </c>
      <c r="C6" s="44" t="s">
        <v>26</v>
      </c>
      <c r="D6" s="44">
        <v>46</v>
      </c>
      <c r="E6" s="44" t="s">
        <v>27</v>
      </c>
      <c r="F6" s="44">
        <v>45</v>
      </c>
      <c r="G6" s="44" t="s">
        <v>28</v>
      </c>
      <c r="H6" s="44">
        <v>44</v>
      </c>
      <c r="I6" s="44" t="s">
        <v>29</v>
      </c>
      <c r="J6" s="44">
        <v>43</v>
      </c>
      <c r="K6" s="44" t="s">
        <v>30</v>
      </c>
      <c r="L6" s="44">
        <v>42</v>
      </c>
      <c r="M6" s="44" t="s">
        <v>31</v>
      </c>
      <c r="N6" s="44">
        <v>41</v>
      </c>
      <c r="O6" s="44" t="s">
        <v>32</v>
      </c>
      <c r="P6" s="44">
        <v>40</v>
      </c>
      <c r="Q6" s="44" t="s">
        <v>33</v>
      </c>
      <c r="R6" s="44">
        <v>39</v>
      </c>
      <c r="S6" s="44" t="s">
        <v>34</v>
      </c>
      <c r="T6" s="44">
        <v>38</v>
      </c>
      <c r="U6" s="44" t="s">
        <v>35</v>
      </c>
      <c r="V6" s="44">
        <v>37</v>
      </c>
      <c r="W6" s="44" t="s">
        <v>36</v>
      </c>
      <c r="X6" s="44">
        <v>36</v>
      </c>
      <c r="Y6" s="44" t="s">
        <v>37</v>
      </c>
      <c r="Z6" s="44">
        <v>35</v>
      </c>
      <c r="AA6" s="44" t="s">
        <v>38</v>
      </c>
      <c r="AB6" s="44">
        <v>34</v>
      </c>
      <c r="AC6" s="43" t="s">
        <v>25</v>
      </c>
      <c r="AD6" s="45"/>
    </row>
    <row r="7" spans="2:30" ht="15.55" x14ac:dyDescent="0.3">
      <c r="B7" s="4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43"/>
      <c r="AD7" s="2"/>
    </row>
    <row r="8" spans="2:30" ht="15.55" x14ac:dyDescent="0.3">
      <c r="B8" s="47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48">
        <v>0</v>
      </c>
      <c r="AD8" s="2"/>
    </row>
    <row r="9" spans="2:30" ht="15.55" x14ac:dyDescent="0.3">
      <c r="B9" s="47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48">
        <v>1</v>
      </c>
      <c r="AD9" s="2"/>
    </row>
    <row r="10" spans="2:30" ht="15.55" x14ac:dyDescent="0.3">
      <c r="B10" s="47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48">
        <v>2</v>
      </c>
      <c r="AD10" s="2"/>
    </row>
    <row r="11" spans="2:30" ht="15.55" x14ac:dyDescent="0.3">
      <c r="B11" s="47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48">
        <v>3</v>
      </c>
      <c r="AD11" s="2"/>
    </row>
    <row r="12" spans="2:30" ht="15.55" x14ac:dyDescent="0.3">
      <c r="B12" s="47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48">
        <v>4</v>
      </c>
      <c r="AD12" s="2"/>
    </row>
    <row r="13" spans="2:30" ht="15.55" x14ac:dyDescent="0.3">
      <c r="B13" s="47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48">
        <v>5</v>
      </c>
      <c r="AD13" s="2"/>
    </row>
    <row r="14" spans="2:30" ht="15.55" x14ac:dyDescent="0.3">
      <c r="B14" s="47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48">
        <v>6</v>
      </c>
      <c r="AD14" s="2"/>
    </row>
    <row r="15" spans="2:30" ht="15.55" x14ac:dyDescent="0.3">
      <c r="B15" s="47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48">
        <v>7</v>
      </c>
      <c r="AD15" s="2"/>
    </row>
    <row r="16" spans="2:30" ht="15.55" x14ac:dyDescent="0.3">
      <c r="B16" s="47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48">
        <v>8</v>
      </c>
      <c r="AD16" s="2"/>
    </row>
    <row r="17" spans="2:30" ht="15.55" x14ac:dyDescent="0.3">
      <c r="B17" s="47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48">
        <v>9</v>
      </c>
      <c r="AD17" s="2"/>
    </row>
    <row r="18" spans="2:30" ht="15.55" x14ac:dyDescent="0.3">
      <c r="B18" s="47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48">
        <v>10</v>
      </c>
      <c r="AD18" s="2"/>
    </row>
    <row r="19" spans="2:30" ht="15.55" x14ac:dyDescent="0.3">
      <c r="B19" s="47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48">
        <v>11</v>
      </c>
      <c r="AD19" s="2"/>
    </row>
    <row r="20" spans="2:30" ht="15.55" x14ac:dyDescent="0.3">
      <c r="B20" s="47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48">
        <v>12</v>
      </c>
      <c r="AD20" s="2"/>
    </row>
    <row r="21" spans="2:30" ht="15.55" x14ac:dyDescent="0.3">
      <c r="B21" s="47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48">
        <v>13</v>
      </c>
      <c r="AD21" s="2"/>
    </row>
    <row r="22" spans="2:30" ht="15.55" x14ac:dyDescent="0.3">
      <c r="B22" s="47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48">
        <v>14</v>
      </c>
      <c r="AD22" s="2"/>
    </row>
    <row r="23" spans="2:30" ht="15.55" x14ac:dyDescent="0.3">
      <c r="B23" s="47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48">
        <v>15</v>
      </c>
      <c r="AD23" s="2"/>
    </row>
    <row r="24" spans="2:30" ht="15.55" x14ac:dyDescent="0.3">
      <c r="B24" s="47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48">
        <v>16</v>
      </c>
      <c r="AD24" s="2"/>
    </row>
    <row r="25" spans="2:30" ht="15.55" x14ac:dyDescent="0.3">
      <c r="B25" s="47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48">
        <v>17</v>
      </c>
      <c r="AD25" s="2"/>
    </row>
    <row r="26" spans="2:30" ht="15.55" x14ac:dyDescent="0.3">
      <c r="B26" s="47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48">
        <v>18</v>
      </c>
      <c r="AD26" s="2"/>
    </row>
    <row r="27" spans="2:30" ht="15.55" x14ac:dyDescent="0.3">
      <c r="B27" s="47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48">
        <v>19</v>
      </c>
      <c r="AD27" s="2"/>
    </row>
    <row r="28" spans="2:30" ht="15.55" x14ac:dyDescent="0.3">
      <c r="B28" s="47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48">
        <v>20</v>
      </c>
      <c r="AD28" s="2"/>
    </row>
    <row r="29" spans="2:30" ht="15.55" x14ac:dyDescent="0.3">
      <c r="B29" s="47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48">
        <v>21</v>
      </c>
      <c r="AD29" s="2"/>
    </row>
    <row r="30" spans="2:30" ht="15.55" x14ac:dyDescent="0.3">
      <c r="B30" s="47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48">
        <v>22</v>
      </c>
      <c r="AD30" s="2"/>
    </row>
    <row r="31" spans="2:30" ht="15.55" x14ac:dyDescent="0.3">
      <c r="B31" s="47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48">
        <v>23</v>
      </c>
      <c r="AD31" s="2"/>
    </row>
    <row r="32" spans="2:30" ht="15.55" x14ac:dyDescent="0.3">
      <c r="B32" s="47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48">
        <v>24</v>
      </c>
      <c r="AD32" s="2"/>
    </row>
    <row r="33" spans="2:30" ht="15.55" x14ac:dyDescent="0.3">
      <c r="B33" s="47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48">
        <v>25</v>
      </c>
      <c r="AD33" s="2"/>
    </row>
    <row r="34" spans="2:30" ht="15.55" x14ac:dyDescent="0.3">
      <c r="B34" s="47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48">
        <v>26</v>
      </c>
      <c r="AD34" s="2"/>
    </row>
    <row r="35" spans="2:30" ht="15.55" x14ac:dyDescent="0.3">
      <c r="B35" s="47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48">
        <v>27</v>
      </c>
      <c r="AD35" s="2"/>
    </row>
    <row r="36" spans="2:30" ht="15.55" x14ac:dyDescent="0.3">
      <c r="B36" s="47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48">
        <v>28</v>
      </c>
      <c r="AD36" s="2"/>
    </row>
    <row r="37" spans="2:30" ht="15.55" x14ac:dyDescent="0.3">
      <c r="B37" s="47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48">
        <v>29</v>
      </c>
      <c r="AD37" s="2"/>
    </row>
    <row r="38" spans="2:30" ht="15.55" x14ac:dyDescent="0.3">
      <c r="B38" s="47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48">
        <v>30</v>
      </c>
      <c r="AD38" s="2"/>
    </row>
    <row r="39" spans="2:30" ht="15.55" x14ac:dyDescent="0.3">
      <c r="B39" s="47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48">
        <v>31</v>
      </c>
      <c r="AD39" s="2"/>
    </row>
    <row r="40" spans="2:30" ht="15.55" x14ac:dyDescent="0.3">
      <c r="B40" s="47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48">
        <v>32</v>
      </c>
      <c r="AD40" s="2"/>
    </row>
    <row r="41" spans="2:30" ht="15.55" x14ac:dyDescent="0.3">
      <c r="B41" s="47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48">
        <v>33</v>
      </c>
      <c r="AD41" s="2"/>
    </row>
    <row r="42" spans="2:30" ht="15.55" x14ac:dyDescent="0.3">
      <c r="B42" s="47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48">
        <v>34</v>
      </c>
      <c r="AD42" s="2"/>
    </row>
    <row r="43" spans="2:30" ht="15.55" x14ac:dyDescent="0.3">
      <c r="B43" s="47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48">
        <v>35</v>
      </c>
      <c r="AD43" s="2"/>
    </row>
    <row r="44" spans="2:30" ht="15.55" x14ac:dyDescent="0.3">
      <c r="B44" s="47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48">
        <v>36</v>
      </c>
      <c r="AD44" s="2"/>
    </row>
    <row r="45" spans="2:30" ht="15.55" x14ac:dyDescent="0.3">
      <c r="B45" s="47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48">
        <v>37</v>
      </c>
      <c r="AD45" s="2"/>
    </row>
    <row r="46" spans="2:30" ht="15.55" x14ac:dyDescent="0.3">
      <c r="B46" s="47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48">
        <v>38</v>
      </c>
      <c r="AD46" s="2"/>
    </row>
    <row r="47" spans="2:30" ht="15.55" x14ac:dyDescent="0.3">
      <c r="B47" s="47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48">
        <v>39</v>
      </c>
      <c r="AD47" s="2"/>
    </row>
    <row r="48" spans="2:30" ht="15.55" x14ac:dyDescent="0.3">
      <c r="B48" s="47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48">
        <v>40</v>
      </c>
      <c r="AD48" s="2"/>
    </row>
    <row r="49" spans="1:30" ht="15.55" x14ac:dyDescent="0.3"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0"/>
      <c r="AD49" s="2"/>
    </row>
    <row r="50" spans="1:30" ht="15.55" x14ac:dyDescent="0.3">
      <c r="B50" s="51"/>
      <c r="C50" s="44" t="s">
        <v>26</v>
      </c>
      <c r="D50" s="44">
        <v>46</v>
      </c>
      <c r="E50" s="44" t="s">
        <v>27</v>
      </c>
      <c r="F50" s="44">
        <v>45</v>
      </c>
      <c r="G50" s="44" t="s">
        <v>28</v>
      </c>
      <c r="H50" s="44">
        <v>44</v>
      </c>
      <c r="I50" s="44" t="s">
        <v>29</v>
      </c>
      <c r="J50" s="44">
        <v>43</v>
      </c>
      <c r="K50" s="44" t="s">
        <v>30</v>
      </c>
      <c r="L50" s="44">
        <v>42</v>
      </c>
      <c r="M50" s="44" t="s">
        <v>31</v>
      </c>
      <c r="N50" s="44">
        <v>41</v>
      </c>
      <c r="O50" s="44" t="s">
        <v>32</v>
      </c>
      <c r="P50" s="44">
        <v>40</v>
      </c>
      <c r="Q50" s="44" t="s">
        <v>33</v>
      </c>
      <c r="R50" s="44">
        <v>39</v>
      </c>
      <c r="S50" s="44" t="s">
        <v>34</v>
      </c>
      <c r="T50" s="44">
        <v>38</v>
      </c>
      <c r="U50" s="44" t="s">
        <v>35</v>
      </c>
      <c r="V50" s="44">
        <v>37</v>
      </c>
      <c r="W50" s="44" t="s">
        <v>36</v>
      </c>
      <c r="X50" s="44">
        <v>36</v>
      </c>
      <c r="Y50" s="44" t="s">
        <v>37</v>
      </c>
      <c r="Z50" s="44">
        <v>35</v>
      </c>
      <c r="AA50" s="44" t="s">
        <v>38</v>
      </c>
      <c r="AB50" s="44">
        <v>34</v>
      </c>
      <c r="AC50" s="2"/>
      <c r="AD50" s="2"/>
    </row>
    <row r="51" spans="1:30" ht="15.55" x14ac:dyDescent="0.3">
      <c r="B51" s="51"/>
      <c r="C51" s="9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2"/>
      <c r="AD51" s="2"/>
    </row>
    <row r="52" spans="1:30" x14ac:dyDescent="0.25">
      <c r="A52" s="53" t="s">
        <v>40</v>
      </c>
      <c r="B52" s="52" t="s">
        <v>39</v>
      </c>
      <c r="H52" t="s">
        <v>0</v>
      </c>
      <c r="I52" s="2"/>
      <c r="J52" s="2"/>
      <c r="K52" s="2"/>
      <c r="L52" s="2"/>
      <c r="M52" s="2"/>
      <c r="N52" s="2" t="s">
        <v>44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B53" s="2">
        <v>1.22</v>
      </c>
      <c r="C53" s="2">
        <f t="shared" ref="C53:H53" si="6">C48*$B53</f>
        <v>13200.995990232521</v>
      </c>
      <c r="D53" s="2">
        <f t="shared" si="6"/>
        <v>12223.14509167846</v>
      </c>
      <c r="E53" s="2">
        <f t="shared" si="6"/>
        <v>11380.175067271228</v>
      </c>
      <c r="F53" s="2">
        <f t="shared" si="6"/>
        <v>10537.187323358743</v>
      </c>
      <c r="G53" s="2">
        <f t="shared" si="6"/>
        <v>9890.17730777836</v>
      </c>
      <c r="H53" s="2">
        <f t="shared" si="6"/>
        <v>9243.1495726927042</v>
      </c>
      <c r="I53" s="2"/>
      <c r="J53" s="2"/>
      <c r="K53" s="2"/>
      <c r="L53" s="2"/>
      <c r="M53" s="57">
        <v>32912</v>
      </c>
      <c r="N53" s="58">
        <v>2010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B54" s="2">
        <v>1.036</v>
      </c>
      <c r="C54" s="2">
        <f t="shared" ref="C54:H56" si="7">C53*$B54</f>
        <v>13676.231845880891</v>
      </c>
      <c r="D54" s="2">
        <f t="shared" si="7"/>
        <v>12663.178314978884</v>
      </c>
      <c r="E54" s="2">
        <f t="shared" si="7"/>
        <v>11789.861369692992</v>
      </c>
      <c r="F54" s="2">
        <f t="shared" si="7"/>
        <v>10916.526066999659</v>
      </c>
      <c r="G54" s="2">
        <f t="shared" si="7"/>
        <v>10246.223690858382</v>
      </c>
      <c r="H54" s="2">
        <f t="shared" si="7"/>
        <v>9575.9029573096414</v>
      </c>
      <c r="I54" s="2"/>
      <c r="J54" s="2"/>
      <c r="K54" s="2"/>
      <c r="L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B55" s="2">
        <v>1.0469999999999999</v>
      </c>
      <c r="C55" s="2">
        <f t="shared" si="7"/>
        <v>14319.014742637291</v>
      </c>
      <c r="D55" s="2">
        <f t="shared" si="7"/>
        <v>13258.347695782892</v>
      </c>
      <c r="E55" s="2">
        <f t="shared" si="7"/>
        <v>12343.984854068562</v>
      </c>
      <c r="F55" s="2">
        <f t="shared" si="7"/>
        <v>11429.602792148642</v>
      </c>
      <c r="G55" s="2">
        <f t="shared" si="7"/>
        <v>10727.796204328724</v>
      </c>
      <c r="H55" s="2">
        <f t="shared" si="7"/>
        <v>10025.970396303193</v>
      </c>
      <c r="I55" s="2"/>
      <c r="J55" s="2"/>
      <c r="K55" s="2"/>
      <c r="L55" s="2"/>
      <c r="M55" s="57"/>
      <c r="N55" s="58" t="s"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5">
        <v>2012</v>
      </c>
      <c r="B56" s="2">
        <v>1.04</v>
      </c>
      <c r="C56" s="3">
        <f t="shared" si="7"/>
        <v>14891.775332342784</v>
      </c>
      <c r="D56" s="2">
        <f t="shared" si="7"/>
        <v>13788.681603614208</v>
      </c>
      <c r="E56" s="2">
        <f t="shared" si="7"/>
        <v>12837.744248231305</v>
      </c>
      <c r="F56" s="2">
        <f t="shared" si="7"/>
        <v>11886.786903834589</v>
      </c>
      <c r="G56" s="2">
        <f t="shared" si="7"/>
        <v>11156.908052501874</v>
      </c>
      <c r="H56" s="2">
        <f t="shared" si="7"/>
        <v>10427.009212155321</v>
      </c>
      <c r="I56" s="2"/>
      <c r="J56" s="2"/>
      <c r="K56" s="2"/>
      <c r="L56" s="2">
        <f>C56</f>
        <v>14891.775332342784</v>
      </c>
      <c r="M56" s="57">
        <v>34371</v>
      </c>
      <c r="N56" s="58">
        <v>2012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>
        <v>2013</v>
      </c>
      <c r="C57">
        <f>C56*F69</f>
        <v>271.54452405086442</v>
      </c>
      <c r="F57" s="65" t="s">
        <v>0</v>
      </c>
      <c r="H57" t="s">
        <v>0</v>
      </c>
      <c r="M57" s="57">
        <v>34883</v>
      </c>
      <c r="N57" s="58">
        <v>2013</v>
      </c>
    </row>
    <row r="58" spans="1:30" x14ac:dyDescent="0.25">
      <c r="F58" s="65"/>
      <c r="M58" s="57">
        <v>34883</v>
      </c>
      <c r="N58" s="58">
        <v>2014</v>
      </c>
    </row>
    <row r="59" spans="1:30" x14ac:dyDescent="0.25">
      <c r="F59" s="65"/>
      <c r="M59" s="57">
        <v>35461</v>
      </c>
      <c r="N59" s="58">
        <v>2015</v>
      </c>
    </row>
    <row r="60" spans="1:30" x14ac:dyDescent="0.25">
      <c r="F60" s="65"/>
      <c r="M60" s="57">
        <v>35461</v>
      </c>
      <c r="N60" s="58">
        <v>2016</v>
      </c>
    </row>
    <row r="61" spans="1:30" x14ac:dyDescent="0.25">
      <c r="F61" s="65"/>
      <c r="M61" s="57">
        <v>35461</v>
      </c>
      <c r="N61" s="58">
        <v>2017</v>
      </c>
    </row>
    <row r="62" spans="1:30" x14ac:dyDescent="0.25">
      <c r="C62" s="63">
        <f>C53/D53</f>
        <v>1.07999994201327</v>
      </c>
      <c r="D62">
        <f>D56/E56</f>
        <v>1.0740735550573004</v>
      </c>
      <c r="E62">
        <f>E56/F56</f>
        <v>1.080001210763688</v>
      </c>
      <c r="F62">
        <f>F56/G56</f>
        <v>1.0654194556321581</v>
      </c>
      <c r="G62">
        <f>G56/H56</f>
        <v>1.0700007859871909</v>
      </c>
      <c r="M62" s="57">
        <v>38301</v>
      </c>
      <c r="N62" s="58">
        <v>2018</v>
      </c>
    </row>
    <row r="63" spans="1:30" x14ac:dyDescent="0.25">
      <c r="A63" s="5">
        <v>2019</v>
      </c>
      <c r="B63" s="55">
        <v>0.49595858999999998</v>
      </c>
      <c r="C63" s="3">
        <f t="shared" ref="C63:H63" si="8">C48+(C48*$B$63)</f>
        <v>16187.002744380243</v>
      </c>
      <c r="D63" s="2">
        <f t="shared" si="8"/>
        <v>14987.966308780924</v>
      </c>
      <c r="E63" s="2">
        <f t="shared" si="8"/>
        <v>13954.320202941164</v>
      </c>
      <c r="F63" s="2">
        <f t="shared" si="8"/>
        <v>12920.652369522639</v>
      </c>
      <c r="G63" s="2">
        <f t="shared" si="8"/>
        <v>12127.291557536159</v>
      </c>
      <c r="H63" s="2">
        <f t="shared" si="8"/>
        <v>11333.909017970886</v>
      </c>
      <c r="L63">
        <v>15924.12</v>
      </c>
      <c r="M63" s="59">
        <v>39617</v>
      </c>
      <c r="N63" s="58">
        <v>2019</v>
      </c>
    </row>
    <row r="64" spans="1:30" x14ac:dyDescent="0.25">
      <c r="C64">
        <f>C56/D56</f>
        <v>1.0799999420132698</v>
      </c>
      <c r="D64">
        <f>D56/E56</f>
        <v>1.0740735550573004</v>
      </c>
      <c r="E64">
        <f>E56/F56</f>
        <v>1.080001210763688</v>
      </c>
      <c r="F64">
        <f>F56/G56</f>
        <v>1.0654194556321581</v>
      </c>
      <c r="G64">
        <f>G56/H56</f>
        <v>1.0700007859871909</v>
      </c>
      <c r="H64" t="s">
        <v>0</v>
      </c>
    </row>
    <row r="65" spans="1:11" x14ac:dyDescent="0.25">
      <c r="A65" s="3"/>
    </row>
    <row r="66" spans="1:11" x14ac:dyDescent="0.25">
      <c r="C66">
        <v>0</v>
      </c>
    </row>
    <row r="67" spans="1:11" x14ac:dyDescent="0.25">
      <c r="C67" t="s">
        <v>0</v>
      </c>
      <c r="H67" s="2">
        <f>C48</f>
        <v>10820.488516584033</v>
      </c>
      <c r="I67" s="2">
        <f>G48</f>
        <v>8106.7027112937385</v>
      </c>
    </row>
    <row r="68" spans="1:11" ht="13.25" thickBot="1" x14ac:dyDescent="0.3">
      <c r="C68">
        <v>270.60485299999999</v>
      </c>
      <c r="F68">
        <v>216.75</v>
      </c>
      <c r="H68" s="54">
        <v>0.33360000000000001</v>
      </c>
      <c r="I68" s="54">
        <v>0.33360000000000001</v>
      </c>
    </row>
    <row r="69" spans="1:11" ht="13.25" thickBot="1" x14ac:dyDescent="0.3">
      <c r="E69" t="s">
        <v>23</v>
      </c>
      <c r="F69" s="64">
        <v>1.8234529999999999E-2</v>
      </c>
      <c r="H69" s="2">
        <f>H67*H68</f>
        <v>3609.7149691324335</v>
      </c>
      <c r="I69" s="2">
        <f>I67*I68</f>
        <v>2704.3960244875911</v>
      </c>
      <c r="J69">
        <f>I70/I69</f>
        <v>0.49585932972005559</v>
      </c>
      <c r="K69" s="62" t="s">
        <v>0</v>
      </c>
    </row>
    <row r="70" spans="1:11" x14ac:dyDescent="0.25">
      <c r="C70" s="2" t="s">
        <v>0</v>
      </c>
      <c r="E70" t="s">
        <v>0</v>
      </c>
      <c r="F70">
        <f>F68/F69</f>
        <v>11886.788417359812</v>
      </c>
      <c r="I70" s="2">
        <v>1341</v>
      </c>
      <c r="J70">
        <f>I70/I68</f>
        <v>4019.7841726618703</v>
      </c>
      <c r="K70">
        <f>J70/I67</f>
        <v>0.49585932972005559</v>
      </c>
    </row>
    <row r="71" spans="1:11" x14ac:dyDescent="0.25">
      <c r="C71" t="e">
        <f>C70/F69</f>
        <v>#VALUE!</v>
      </c>
      <c r="F71">
        <f>F63/F70</f>
        <v>1.0869758858206764</v>
      </c>
      <c r="I71" s="60">
        <f>I70/I69</f>
        <v>0.49585932972005559</v>
      </c>
    </row>
    <row r="72" spans="1:11" x14ac:dyDescent="0.25">
      <c r="F72">
        <f>C56*F71</f>
        <v>16187.000683315795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rightToLeft="1" topLeftCell="A10" workbookViewId="0">
      <selection activeCell="B24" sqref="B24"/>
    </sheetView>
  </sheetViews>
  <sheetFormatPr defaultRowHeight="12.7" x14ac:dyDescent="0.25"/>
  <cols>
    <col min="2" max="2" width="10.33203125" bestFit="1" customWidth="1"/>
    <col min="5" max="5" width="11.33203125" bestFit="1" customWidth="1"/>
    <col min="9" max="9" width="9.5546875" customWidth="1"/>
    <col min="10" max="10" width="11.109375" bestFit="1" customWidth="1"/>
    <col min="11" max="11" width="10.6640625" bestFit="1" customWidth="1"/>
  </cols>
  <sheetData>
    <row r="1" spans="1:10" x14ac:dyDescent="0.25">
      <c r="A1" s="6" t="s">
        <v>70</v>
      </c>
      <c r="C1" t="s">
        <v>85</v>
      </c>
      <c r="D1" t="s">
        <v>26</v>
      </c>
      <c r="E1" t="s">
        <v>84</v>
      </c>
      <c r="F1" t="s">
        <v>0</v>
      </c>
    </row>
    <row r="2" spans="1:10" x14ac:dyDescent="0.25">
      <c r="A2" s="6"/>
      <c r="E2" s="77">
        <v>27103</v>
      </c>
      <c r="F2" s="77" t="s">
        <v>0</v>
      </c>
      <c r="G2" s="77"/>
      <c r="H2" s="77" t="s">
        <v>0</v>
      </c>
      <c r="J2" s="77" t="s">
        <v>0</v>
      </c>
    </row>
    <row r="3" spans="1:10" x14ac:dyDescent="0.25">
      <c r="A3" s="6"/>
      <c r="E3" s="77"/>
      <c r="F3" s="77"/>
      <c r="G3" s="77"/>
      <c r="H3" s="77"/>
      <c r="J3" s="77"/>
    </row>
    <row r="4" spans="1:10" x14ac:dyDescent="0.25">
      <c r="A4" t="s">
        <v>61</v>
      </c>
      <c r="B4" s="77">
        <v>39617</v>
      </c>
      <c r="C4" s="78">
        <f>B4/184.17</f>
        <v>215.11103871423143</v>
      </c>
      <c r="D4">
        <v>20</v>
      </c>
      <c r="H4" s="79">
        <f>B4*$D$4</f>
        <v>792340</v>
      </c>
    </row>
    <row r="5" spans="1:10" x14ac:dyDescent="0.25">
      <c r="A5" s="62" t="s">
        <v>73</v>
      </c>
      <c r="B5" s="77"/>
      <c r="H5" s="79">
        <f>B5*$D$4</f>
        <v>0</v>
      </c>
    </row>
    <row r="6" spans="1:10" ht="14.4" x14ac:dyDescent="0.4">
      <c r="A6" t="s">
        <v>62</v>
      </c>
      <c r="B6" s="86">
        <f>B4*7.5%</f>
        <v>2971.2750000000001</v>
      </c>
      <c r="H6" s="86">
        <f t="shared" ref="H6" si="0">B6*$D$4</f>
        <v>59425.5</v>
      </c>
    </row>
    <row r="7" spans="1:10" x14ac:dyDescent="0.25">
      <c r="A7" s="62" t="s">
        <v>80</v>
      </c>
      <c r="B7" s="79"/>
      <c r="C7" s="77">
        <f>SUM(B4:B6)</f>
        <v>42588.275000000001</v>
      </c>
      <c r="I7" s="79">
        <f>C7*$D$4</f>
        <v>851765.5</v>
      </c>
    </row>
    <row r="8" spans="1:10" s="83" customFormat="1" x14ac:dyDescent="0.25">
      <c r="A8" s="83" t="s">
        <v>68</v>
      </c>
      <c r="B8" s="83">
        <v>902</v>
      </c>
      <c r="H8" s="79">
        <f>B8*D4</f>
        <v>18040</v>
      </c>
    </row>
    <row r="9" spans="1:10" ht="14.4" x14ac:dyDescent="0.4">
      <c r="A9" t="s">
        <v>63</v>
      </c>
      <c r="B9" s="88">
        <v>196.8</v>
      </c>
      <c r="C9" s="77">
        <f>SUM(B8:B9)</f>
        <v>1098.8</v>
      </c>
      <c r="H9" s="86">
        <f>B9*$D$4</f>
        <v>3936</v>
      </c>
      <c r="I9" s="82">
        <f>SUM(H8:H9)</f>
        <v>21976</v>
      </c>
    </row>
    <row r="10" spans="1:10" x14ac:dyDescent="0.25">
      <c r="A10" s="89" t="s">
        <v>77</v>
      </c>
      <c r="B10" s="63"/>
      <c r="I10" s="79">
        <f>B10*$D$4</f>
        <v>0</v>
      </c>
    </row>
    <row r="11" spans="1:10" x14ac:dyDescent="0.25">
      <c r="A11" t="s">
        <v>64</v>
      </c>
      <c r="B11">
        <v>676</v>
      </c>
      <c r="F11">
        <v>387</v>
      </c>
      <c r="H11" s="79">
        <f>B11*$D$4</f>
        <v>13520</v>
      </c>
    </row>
    <row r="12" spans="1:10" ht="14.4" x14ac:dyDescent="0.4">
      <c r="A12" t="s">
        <v>65</v>
      </c>
      <c r="B12" s="89">
        <f>G12*F12</f>
        <v>566.44000000000005</v>
      </c>
      <c r="F12">
        <v>0.68</v>
      </c>
      <c r="G12">
        <v>833</v>
      </c>
      <c r="H12" s="86">
        <f>B12*$D$4</f>
        <v>11328.800000000001</v>
      </c>
    </row>
    <row r="13" spans="1:10" x14ac:dyDescent="0.25">
      <c r="B13" s="90" t="s">
        <v>79</v>
      </c>
      <c r="C13" s="79">
        <f>SUM(B11:B12)</f>
        <v>1242.44</v>
      </c>
      <c r="H13" s="92"/>
      <c r="I13" s="79">
        <f>C13*$D$4</f>
        <v>24848.800000000003</v>
      </c>
    </row>
    <row r="14" spans="1:10" x14ac:dyDescent="0.25">
      <c r="B14" s="79"/>
      <c r="E14" s="79"/>
      <c r="H14" s="92"/>
      <c r="I14" s="92" t="s">
        <v>0</v>
      </c>
    </row>
    <row r="15" spans="1:10" ht="11.95" customHeight="1" x14ac:dyDescent="0.25">
      <c r="A15" s="62" t="s">
        <v>78</v>
      </c>
      <c r="B15" s="79">
        <f>B8+B9+B11+B12</f>
        <v>2341.2399999999998</v>
      </c>
      <c r="E15" s="79"/>
      <c r="F15" s="1">
        <v>0.05</v>
      </c>
      <c r="H15" s="92"/>
      <c r="I15" s="92" t="s">
        <v>0</v>
      </c>
    </row>
    <row r="16" spans="1:10" ht="14.4" x14ac:dyDescent="0.4">
      <c r="A16" s="62" t="s">
        <v>81</v>
      </c>
      <c r="B16" s="86">
        <f>B15*0.05</f>
        <v>117.062</v>
      </c>
      <c r="E16" s="79"/>
      <c r="G16" s="86">
        <f>B16*$D$4</f>
        <v>2341.2399999999998</v>
      </c>
      <c r="H16" s="92">
        <f>SUM(G16)</f>
        <v>2341.2399999999998</v>
      </c>
    </row>
    <row r="17" spans="1:11" ht="14.4" x14ac:dyDescent="0.4">
      <c r="A17" s="62" t="s">
        <v>78</v>
      </c>
      <c r="B17" s="62"/>
      <c r="C17" s="86">
        <f>SUM(B15:B16)</f>
        <v>2458.3019999999997</v>
      </c>
      <c r="E17" s="79"/>
    </row>
    <row r="18" spans="1:11" x14ac:dyDescent="0.25">
      <c r="B18" s="90" t="s">
        <v>82</v>
      </c>
      <c r="C18" s="79">
        <f>SUM(C7:C17)</f>
        <v>47387.81700000001</v>
      </c>
      <c r="E18" s="79"/>
      <c r="I18" s="92">
        <f>SUM(I7:I16)</f>
        <v>898590.3</v>
      </c>
      <c r="J18" s="82">
        <f>I18</f>
        <v>898590.3</v>
      </c>
    </row>
    <row r="19" spans="1:11" x14ac:dyDescent="0.25">
      <c r="A19" s="6" t="s">
        <v>71</v>
      </c>
      <c r="E19" s="79"/>
      <c r="I19" s="79">
        <f t="shared" ref="I19:I21" si="1">C19*$D$4</f>
        <v>0</v>
      </c>
    </row>
    <row r="20" spans="1:11" x14ac:dyDescent="0.25">
      <c r="A20" t="s">
        <v>60</v>
      </c>
      <c r="B20" s="79">
        <f>'סימולטור '!L14</f>
        <v>17799.435326296851</v>
      </c>
      <c r="D20">
        <f>20/12</f>
        <v>1.6666666666666667</v>
      </c>
      <c r="E20" s="79"/>
      <c r="I20" s="79">
        <f t="shared" si="1"/>
        <v>0</v>
      </c>
    </row>
    <row r="21" spans="1:11" ht="14.4" x14ac:dyDescent="0.4">
      <c r="A21" s="80">
        <v>7.4999999999999997E-2</v>
      </c>
      <c r="B21" s="86">
        <f>B20*A21</f>
        <v>1334.9576494722637</v>
      </c>
      <c r="E21" s="79"/>
      <c r="I21" s="79">
        <f t="shared" si="1"/>
        <v>0</v>
      </c>
    </row>
    <row r="22" spans="1:11" x14ac:dyDescent="0.25">
      <c r="B22" s="84" t="s">
        <v>72</v>
      </c>
      <c r="C22" s="82">
        <f>SUM(B20:B21)</f>
        <v>19134.392975769115</v>
      </c>
      <c r="E22" s="79"/>
      <c r="I22" s="79">
        <f>C22*$D$20</f>
        <v>31890.654959615193</v>
      </c>
      <c r="J22" s="82">
        <f>I22</f>
        <v>31890.654959615193</v>
      </c>
    </row>
    <row r="23" spans="1:11" x14ac:dyDescent="0.25">
      <c r="A23" s="80"/>
      <c r="B23" s="82"/>
      <c r="E23" s="79"/>
      <c r="I23" s="91">
        <f t="shared" ref="I23" si="2">C23*$D$20</f>
        <v>0</v>
      </c>
    </row>
    <row r="24" spans="1:11" x14ac:dyDescent="0.25">
      <c r="A24" t="s">
        <v>66</v>
      </c>
      <c r="B24" s="79">
        <v>4000</v>
      </c>
      <c r="C24" t="s">
        <v>0</v>
      </c>
      <c r="E24" s="79"/>
      <c r="I24" s="91">
        <f>B24*$D$20</f>
        <v>6666.666666666667</v>
      </c>
    </row>
    <row r="25" spans="1:11" x14ac:dyDescent="0.25">
      <c r="A25" t="s">
        <v>67</v>
      </c>
      <c r="B25" s="79">
        <f>F25*E25</f>
        <v>5616</v>
      </c>
      <c r="E25" s="79">
        <v>13</v>
      </c>
      <c r="F25">
        <v>432</v>
      </c>
      <c r="I25" s="91">
        <f>B25*$D$20</f>
        <v>9360</v>
      </c>
    </row>
    <row r="26" spans="1:11" x14ac:dyDescent="0.25">
      <c r="A26" t="s">
        <v>69</v>
      </c>
      <c r="B26" s="79">
        <v>1654</v>
      </c>
      <c r="E26">
        <v>181</v>
      </c>
      <c r="I26" s="91">
        <f>B26*$D$20</f>
        <v>2756.666666666667</v>
      </c>
    </row>
    <row r="27" spans="1:11" x14ac:dyDescent="0.25">
      <c r="A27" s="62" t="s">
        <v>74</v>
      </c>
      <c r="B27" s="79">
        <v>3500</v>
      </c>
      <c r="I27" s="91">
        <f>B27*$D$20</f>
        <v>5833.3333333333339</v>
      </c>
    </row>
    <row r="28" spans="1:11" x14ac:dyDescent="0.25">
      <c r="A28" s="62" t="s">
        <v>83</v>
      </c>
      <c r="C28" s="82">
        <f>SUM(B24:B27)</f>
        <v>14770</v>
      </c>
      <c r="I28" s="91" t="s">
        <v>0</v>
      </c>
      <c r="J28" s="91">
        <f>C28*$D$20</f>
        <v>24616.666666666668</v>
      </c>
    </row>
    <row r="29" spans="1:11" x14ac:dyDescent="0.25">
      <c r="A29" s="62" t="s">
        <v>75</v>
      </c>
      <c r="B29" s="87">
        <f>C28+C13+B9+B8</f>
        <v>17111.239999999998</v>
      </c>
      <c r="I29" s="79">
        <f t="shared" ref="I29" si="3">B29*$D$20</f>
        <v>28518.73333333333</v>
      </c>
    </row>
    <row r="30" spans="1:11" ht="14.4" x14ac:dyDescent="0.4">
      <c r="A30" s="62" t="s">
        <v>76</v>
      </c>
      <c r="B30" s="81">
        <f>B29*0.05</f>
        <v>855.5619999999999</v>
      </c>
      <c r="I30" s="86">
        <f>B30*D20</f>
        <v>1425.9366666666665</v>
      </c>
      <c r="J30" s="85">
        <f>I30</f>
        <v>1425.9366666666665</v>
      </c>
    </row>
    <row r="31" spans="1:11" x14ac:dyDescent="0.25">
      <c r="I31" s="82">
        <f>SUM(I18:I30)</f>
        <v>985042.2916262818</v>
      </c>
      <c r="J31" s="82">
        <f>SUM(J22:J30)</f>
        <v>57933.258292948529</v>
      </c>
      <c r="K31" s="82">
        <f>J18+J31</f>
        <v>956523.55829294852</v>
      </c>
    </row>
    <row r="32" spans="1:11" x14ac:dyDescent="0.25">
      <c r="I32" s="82"/>
      <c r="J32" s="82"/>
      <c r="K32" s="82"/>
    </row>
    <row r="33" spans="1:11" x14ac:dyDescent="0.25">
      <c r="A33" s="62" t="s">
        <v>86</v>
      </c>
      <c r="B33" s="79">
        <f>$B$4/C33*22</f>
        <v>40238.87349953832</v>
      </c>
      <c r="C33">
        <v>21.66</v>
      </c>
      <c r="I33" s="92">
        <f>B33*$D$20</f>
        <v>67064.789165897208</v>
      </c>
    </row>
    <row r="34" spans="1:11" x14ac:dyDescent="0.25">
      <c r="A34" s="62" t="s">
        <v>87</v>
      </c>
      <c r="B34" s="79">
        <f>$B$4/C34*30/3</f>
        <v>15846.800000000001</v>
      </c>
      <c r="C34">
        <v>25</v>
      </c>
      <c r="I34" s="92">
        <f>B34*$D$20</f>
        <v>26411.333333333336</v>
      </c>
    </row>
    <row r="35" spans="1:11" ht="14.4" x14ac:dyDescent="0.4">
      <c r="A35" s="62" t="s">
        <v>88</v>
      </c>
      <c r="B35" s="77">
        <f>B4</f>
        <v>39617</v>
      </c>
      <c r="I35" s="86">
        <f>B35*$D$20</f>
        <v>66028.333333333343</v>
      </c>
      <c r="K35" s="85">
        <f>SUM(I33:I35)</f>
        <v>159504.45583256389</v>
      </c>
    </row>
    <row r="36" spans="1:11" x14ac:dyDescent="0.25">
      <c r="J36" s="62" t="s">
        <v>91</v>
      </c>
      <c r="K36" s="82">
        <f>SUM(K31:K35)</f>
        <v>1116028.0141255124</v>
      </c>
    </row>
    <row r="37" spans="1:11" x14ac:dyDescent="0.25">
      <c r="F37" s="62" t="s">
        <v>89</v>
      </c>
    </row>
    <row r="38" spans="1:11" x14ac:dyDescent="0.25">
      <c r="H38">
        <v>2012</v>
      </c>
      <c r="I38" s="77">
        <f>16454.4*5</f>
        <v>82272</v>
      </c>
    </row>
    <row r="39" spans="1:11" x14ac:dyDescent="0.25">
      <c r="H39">
        <v>2013</v>
      </c>
      <c r="I39" s="77">
        <f>216550+1063.31-60.02</f>
        <v>217553.29</v>
      </c>
    </row>
    <row r="40" spans="1:11" x14ac:dyDescent="0.25">
      <c r="H40">
        <v>2014</v>
      </c>
      <c r="I40" s="94">
        <f>17038*3</f>
        <v>51114</v>
      </c>
      <c r="K40" s="94">
        <f>SUM(I38:I40)</f>
        <v>350939.29000000004</v>
      </c>
    </row>
    <row r="41" spans="1:11" ht="17.3" x14ac:dyDescent="0.45">
      <c r="J41" s="21" t="s">
        <v>90</v>
      </c>
      <c r="K41" s="95">
        <f>K36-K40</f>
        <v>765088.72412551241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rightToLeft="1" topLeftCell="A4" workbookViewId="0">
      <selection activeCell="C21" sqref="C21"/>
    </sheetView>
  </sheetViews>
  <sheetFormatPr defaultRowHeight="12.7" x14ac:dyDescent="0.25"/>
  <cols>
    <col min="2" max="2" width="10.33203125" bestFit="1" customWidth="1"/>
    <col min="3" max="3" width="11.33203125" bestFit="1" customWidth="1"/>
  </cols>
  <sheetData>
    <row r="1" spans="1:3" x14ac:dyDescent="0.25">
      <c r="A1" s="96">
        <v>41122</v>
      </c>
      <c r="B1" s="91">
        <v>12593.53</v>
      </c>
    </row>
    <row r="2" spans="1:3" x14ac:dyDescent="0.25">
      <c r="A2" s="96">
        <v>41153</v>
      </c>
      <c r="B2" s="91">
        <v>12593.53</v>
      </c>
    </row>
    <row r="3" spans="1:3" x14ac:dyDescent="0.25">
      <c r="A3" s="96">
        <v>41183</v>
      </c>
      <c r="B3" s="91">
        <v>12593.53</v>
      </c>
    </row>
    <row r="4" spans="1:3" x14ac:dyDescent="0.25">
      <c r="A4" s="96">
        <v>41214</v>
      </c>
      <c r="B4" s="91">
        <v>12593.53</v>
      </c>
    </row>
    <row r="5" spans="1:3" x14ac:dyDescent="0.25">
      <c r="A5" s="96">
        <v>41244</v>
      </c>
      <c r="B5" s="91">
        <v>12593.53</v>
      </c>
      <c r="C5" s="81">
        <f>SUM(B1:B5)</f>
        <v>62967.65</v>
      </c>
    </row>
    <row r="6" spans="1:3" x14ac:dyDescent="0.25">
      <c r="A6" s="96">
        <v>41275</v>
      </c>
      <c r="B6" s="91">
        <f>12593.53+187.6</f>
        <v>12781.130000000001</v>
      </c>
    </row>
    <row r="7" spans="1:3" x14ac:dyDescent="0.25">
      <c r="A7" s="96">
        <v>41306</v>
      </c>
      <c r="B7" s="91">
        <f>12593.53+187.6</f>
        <v>12781.130000000001</v>
      </c>
    </row>
    <row r="8" spans="1:3" x14ac:dyDescent="0.25">
      <c r="A8" s="96">
        <v>41334</v>
      </c>
      <c r="B8" s="91">
        <f t="shared" ref="B8:B17" si="0">12593.53+187.6</f>
        <v>12781.130000000001</v>
      </c>
    </row>
    <row r="9" spans="1:3" x14ac:dyDescent="0.25">
      <c r="A9" s="96">
        <v>41365</v>
      </c>
      <c r="B9" s="91">
        <f t="shared" si="0"/>
        <v>12781.130000000001</v>
      </c>
    </row>
    <row r="10" spans="1:3" x14ac:dyDescent="0.25">
      <c r="A10" s="96">
        <v>41395</v>
      </c>
      <c r="B10" s="91">
        <f t="shared" si="0"/>
        <v>12781.130000000001</v>
      </c>
    </row>
    <row r="11" spans="1:3" x14ac:dyDescent="0.25">
      <c r="A11" s="96">
        <v>41426</v>
      </c>
      <c r="B11" s="91">
        <f t="shared" si="0"/>
        <v>12781.130000000001</v>
      </c>
    </row>
    <row r="12" spans="1:3" x14ac:dyDescent="0.25">
      <c r="A12" s="96">
        <v>41456</v>
      </c>
      <c r="B12" s="91">
        <f t="shared" si="0"/>
        <v>12781.130000000001</v>
      </c>
    </row>
    <row r="13" spans="1:3" x14ac:dyDescent="0.25">
      <c r="A13" s="96">
        <v>41487</v>
      </c>
      <c r="B13" s="91">
        <f t="shared" si="0"/>
        <v>12781.130000000001</v>
      </c>
    </row>
    <row r="14" spans="1:3" x14ac:dyDescent="0.25">
      <c r="A14" s="96">
        <v>41518</v>
      </c>
      <c r="B14" s="91">
        <f t="shared" si="0"/>
        <v>12781.130000000001</v>
      </c>
    </row>
    <row r="15" spans="1:3" x14ac:dyDescent="0.25">
      <c r="A15" s="96">
        <v>41548</v>
      </c>
      <c r="B15" s="91">
        <f t="shared" si="0"/>
        <v>12781.130000000001</v>
      </c>
    </row>
    <row r="16" spans="1:3" x14ac:dyDescent="0.25">
      <c r="A16" s="96">
        <v>41579</v>
      </c>
      <c r="B16" s="91">
        <f t="shared" si="0"/>
        <v>12781.130000000001</v>
      </c>
    </row>
    <row r="17" spans="1:3" x14ac:dyDescent="0.25">
      <c r="A17" s="96">
        <v>41609</v>
      </c>
      <c r="B17" s="91">
        <f t="shared" si="0"/>
        <v>12781.130000000001</v>
      </c>
      <c r="C17" s="81">
        <f>SUM(B6:B17)</f>
        <v>153373.56000000003</v>
      </c>
    </row>
    <row r="18" spans="1:3" x14ac:dyDescent="0.25">
      <c r="A18" s="96">
        <v>41640</v>
      </c>
      <c r="B18" s="91">
        <v>12992.91</v>
      </c>
    </row>
    <row r="19" spans="1:3" x14ac:dyDescent="0.25">
      <c r="A19" s="96">
        <v>41671</v>
      </c>
      <c r="B19" s="91">
        <v>12992.91</v>
      </c>
    </row>
    <row r="20" spans="1:3" ht="14.4" x14ac:dyDescent="0.4">
      <c r="A20" s="96">
        <v>41699</v>
      </c>
      <c r="B20" s="91">
        <v>12992.91</v>
      </c>
      <c r="C20" s="97">
        <f>SUM(B20)</f>
        <v>12992.91</v>
      </c>
    </row>
    <row r="21" spans="1:3" x14ac:dyDescent="0.25">
      <c r="C21" s="81">
        <f>SUM(C5:C20)</f>
        <v>229334.12000000002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סימולטור </vt:lpstr>
      <vt:lpstr>דרוג מחר</vt:lpstr>
      <vt:lpstr>משכורות1.8.12 עד 31.3.14</vt:lpstr>
      <vt:lpstr>פנסיה בכירים עד 3.14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שמעון</cp:lastModifiedBy>
  <dcterms:created xsi:type="dcterms:W3CDTF">2012-01-29T21:28:46Z</dcterms:created>
  <dcterms:modified xsi:type="dcterms:W3CDTF">2024-02-04T20:27:19Z</dcterms:modified>
</cp:coreProperties>
</file>