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שמעון\האחסון שלי\P\myself\גמלאות\חישוב פנסיה\"/>
    </mc:Choice>
  </mc:AlternateContent>
  <xr:revisionPtr revIDLastSave="0" documentId="13_ncr:1_{04AEBAEB-1DB6-49FF-BC24-153A1EFE79E2}" xr6:coauthVersionLast="47" xr6:coauthVersionMax="47" xr10:uidLastSave="{00000000-0000-0000-0000-000000000000}"/>
  <bookViews>
    <workbookView xWindow="-104" yWindow="-104" windowWidth="22326" windowHeight="11947" activeTab="1" xr2:uid="{A36D28A7-7026-46CB-BD8C-218C7397C1CC}"/>
  </bookViews>
  <sheets>
    <sheet name="פנסיה כ.מינוי+חוזה (4)" sheetId="10" r:id="rId1"/>
    <sheet name="גרפים" sheetId="9" r:id="rId2"/>
    <sheet name="סימולטור חוזה.נש&quot;מ" sheetId="1" state="hidden" r:id="rId3"/>
    <sheet name="סימולטור פתיחה חוזה.נש&quot;מ (2)" sheetId="2" state="hidden" r:id="rId4"/>
    <sheet name="נוסחת אהרונוב" sheetId="4" state="hidden" r:id="rId5"/>
    <sheet name="דוגמאות מסימולטור" sheetId="8" state="hidden" r:id="rId6"/>
  </sheets>
  <externalReferences>
    <externalReference r:id="rId7"/>
  </externalReferences>
  <definedNames>
    <definedName name="_xlnm.Print_Area" localSheetId="1">גרפים!$A$17:$E$39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9" l="1"/>
  <c r="C12" i="9"/>
  <c r="C3" i="9"/>
  <c r="C4" i="9"/>
  <c r="C5" i="9"/>
  <c r="C6" i="9"/>
  <c r="C7" i="9"/>
  <c r="C8" i="9"/>
  <c r="C9" i="9"/>
  <c r="C10" i="9"/>
  <c r="C11" i="9"/>
  <c r="C13" i="9"/>
  <c r="C14" i="9"/>
  <c r="C2" i="9"/>
  <c r="A13" i="9"/>
  <c r="A14" i="9"/>
  <c r="A3" i="9"/>
  <c r="A4" i="9"/>
  <c r="A5" i="9"/>
  <c r="A6" i="9"/>
  <c r="A7" i="9"/>
  <c r="A8" i="9"/>
  <c r="A9" i="9"/>
  <c r="A10" i="9"/>
  <c r="A11" i="9"/>
  <c r="A2" i="9"/>
  <c r="G37" i="10"/>
  <c r="F37" i="10"/>
  <c r="E37" i="10"/>
  <c r="J37" i="10" s="1"/>
  <c r="Y37" i="10" s="1"/>
  <c r="G36" i="10"/>
  <c r="E36" i="10"/>
  <c r="G35" i="10"/>
  <c r="E35" i="10"/>
  <c r="F35" i="10" s="1"/>
  <c r="G34" i="10"/>
  <c r="E34" i="10"/>
  <c r="AN33" i="10"/>
  <c r="AL33" i="10"/>
  <c r="AN32" i="10"/>
  <c r="AL32" i="10"/>
  <c r="AN31" i="10"/>
  <c r="AL31" i="10"/>
  <c r="AN30" i="10"/>
  <c r="AL30" i="10"/>
  <c r="AN29" i="10"/>
  <c r="AL29" i="10"/>
  <c r="AN28" i="10"/>
  <c r="AL28" i="10"/>
  <c r="AN27" i="10"/>
  <c r="AL27" i="10"/>
  <c r="AN26" i="10"/>
  <c r="AL26" i="10"/>
  <c r="AN25" i="10"/>
  <c r="AL25" i="10"/>
  <c r="AN23" i="10"/>
  <c r="AL23" i="10"/>
  <c r="AN22" i="10"/>
  <c r="AL22" i="10"/>
  <c r="AN21" i="10"/>
  <c r="AL21" i="10"/>
  <c r="AN20" i="10"/>
  <c r="AL20" i="10"/>
  <c r="AN19" i="10"/>
  <c r="AL19" i="10"/>
  <c r="AW18" i="10"/>
  <c r="AN18" i="10"/>
  <c r="AL18" i="10"/>
  <c r="AW17" i="10"/>
  <c r="AL17" i="10"/>
  <c r="AL16" i="10"/>
  <c r="AW15" i="10"/>
  <c r="AL15" i="10"/>
  <c r="AW14" i="10"/>
  <c r="AV14" i="10"/>
  <c r="AM14" i="10"/>
  <c r="AL14" i="10"/>
  <c r="E14" i="10"/>
  <c r="AW13" i="10"/>
  <c r="AL13" i="10"/>
  <c r="AW12" i="10"/>
  <c r="AV13" i="10" s="1"/>
  <c r="AV12" i="10"/>
  <c r="AM12" i="10"/>
  <c r="AL12" i="10"/>
  <c r="E12" i="10"/>
  <c r="B12" i="10"/>
  <c r="B13" i="10" s="1"/>
  <c r="B14" i="10" s="1"/>
  <c r="B15" i="10" s="1"/>
  <c r="B16" i="10" s="1"/>
  <c r="AW11" i="10"/>
  <c r="AV11" i="10"/>
  <c r="AN11" i="10"/>
  <c r="AM11" i="10"/>
  <c r="K11" i="10"/>
  <c r="G11" i="10"/>
  <c r="F11" i="10"/>
  <c r="H11" i="10" s="1"/>
  <c r="E11" i="10"/>
  <c r="J11" i="10" s="1"/>
  <c r="V10" i="10"/>
  <c r="Q10" i="10"/>
  <c r="P10" i="10"/>
  <c r="E10" i="10"/>
  <c r="G10" i="10" s="1"/>
  <c r="C10" i="10"/>
  <c r="E9" i="10"/>
  <c r="C9" i="10"/>
  <c r="K37" i="8"/>
  <c r="G37" i="8"/>
  <c r="F37" i="8"/>
  <c r="E37" i="8"/>
  <c r="J37" i="8" s="1"/>
  <c r="J36" i="8"/>
  <c r="G36" i="8"/>
  <c r="E36" i="8"/>
  <c r="F36" i="8" s="1"/>
  <c r="K35" i="8"/>
  <c r="G35" i="8"/>
  <c r="F35" i="8"/>
  <c r="E35" i="8"/>
  <c r="J35" i="8" s="1"/>
  <c r="J34" i="8"/>
  <c r="G34" i="8"/>
  <c r="E34" i="8"/>
  <c r="F34" i="8" s="1"/>
  <c r="AR33" i="8"/>
  <c r="AP33" i="8"/>
  <c r="AR32" i="8"/>
  <c r="AP32" i="8"/>
  <c r="AR31" i="8"/>
  <c r="AP31" i="8"/>
  <c r="AR30" i="8"/>
  <c r="AP30" i="8"/>
  <c r="AR29" i="8"/>
  <c r="AP29" i="8"/>
  <c r="AR28" i="8"/>
  <c r="AP28" i="8"/>
  <c r="AR27" i="8"/>
  <c r="AP27" i="8"/>
  <c r="AR26" i="8"/>
  <c r="AP26" i="8"/>
  <c r="AR25" i="8"/>
  <c r="AP25" i="8"/>
  <c r="AR23" i="8"/>
  <c r="AP23" i="8"/>
  <c r="AR22" i="8"/>
  <c r="AP22" i="8"/>
  <c r="Q22" i="8"/>
  <c r="AR21" i="8"/>
  <c r="AP21" i="8"/>
  <c r="AR20" i="8"/>
  <c r="AP20" i="8"/>
  <c r="AR19" i="8"/>
  <c r="AP19" i="8"/>
  <c r="AR18" i="8"/>
  <c r="AP18" i="8"/>
  <c r="AP16" i="8"/>
  <c r="AP15" i="8"/>
  <c r="BA14" i="8"/>
  <c r="AP14" i="8"/>
  <c r="BA13" i="8"/>
  <c r="AP13" i="8"/>
  <c r="AQ12" i="8"/>
  <c r="AP12" i="8"/>
  <c r="BA12" i="8" s="1"/>
  <c r="AZ12" i="8" s="1"/>
  <c r="B12" i="8"/>
  <c r="BA11" i="8"/>
  <c r="AZ11" i="8" s="1"/>
  <c r="AR11" i="8"/>
  <c r="AQ11" i="8"/>
  <c r="E11" i="8"/>
  <c r="G11" i="8" s="1"/>
  <c r="Q10" i="8"/>
  <c r="Z10" i="8" s="1"/>
  <c r="P10" i="8"/>
  <c r="G10" i="8"/>
  <c r="F10" i="8"/>
  <c r="M10" i="8" s="1"/>
  <c r="E10" i="8"/>
  <c r="J10" i="8" s="1"/>
  <c r="V10" i="8" s="1"/>
  <c r="C10" i="8"/>
  <c r="E9" i="8"/>
  <c r="G9" i="8" s="1"/>
  <c r="C9" i="8"/>
  <c r="C36" i="10" l="1"/>
  <c r="C37" i="10"/>
  <c r="M37" i="10" s="1"/>
  <c r="C34" i="10"/>
  <c r="C16" i="10"/>
  <c r="N10" i="10"/>
  <c r="C35" i="10"/>
  <c r="N34" i="10"/>
  <c r="P9" i="10"/>
  <c r="Q9" i="10" s="1"/>
  <c r="V9" i="10" s="1"/>
  <c r="F10" i="10"/>
  <c r="M10" i="10" s="1"/>
  <c r="C14" i="10"/>
  <c r="J10" i="10"/>
  <c r="K10" i="10" s="1"/>
  <c r="Y11" i="10"/>
  <c r="G12" i="10"/>
  <c r="H12" i="10" s="1"/>
  <c r="AT12" i="10"/>
  <c r="F12" i="10"/>
  <c r="G14" i="10"/>
  <c r="H14" i="10" s="1"/>
  <c r="AT14" i="10"/>
  <c r="F14" i="10"/>
  <c r="E16" i="10"/>
  <c r="F36" i="10"/>
  <c r="M36" i="10" s="1"/>
  <c r="Z36" i="10" s="1"/>
  <c r="AB36" i="10" s="1"/>
  <c r="J36" i="10"/>
  <c r="H10" i="10"/>
  <c r="F34" i="10"/>
  <c r="M34" i="10" s="1"/>
  <c r="Z34" i="10" s="1"/>
  <c r="AB34" i="10" s="1"/>
  <c r="J34" i="10"/>
  <c r="G9" i="10"/>
  <c r="F9" i="10"/>
  <c r="M9" i="10" s="1"/>
  <c r="Z9" i="10" s="1"/>
  <c r="AB9" i="10" s="1"/>
  <c r="C11" i="10"/>
  <c r="C12" i="10"/>
  <c r="J9" i="10"/>
  <c r="S10" i="10"/>
  <c r="T10" i="10" s="1"/>
  <c r="W10" i="10" s="1"/>
  <c r="J12" i="10"/>
  <c r="J14" i="10"/>
  <c r="B17" i="10"/>
  <c r="H35" i="10"/>
  <c r="H34" i="10"/>
  <c r="H37" i="10"/>
  <c r="C13" i="10"/>
  <c r="AM13" i="10"/>
  <c r="C15" i="10"/>
  <c r="AM15" i="10"/>
  <c r="E13" i="10"/>
  <c r="E15" i="10"/>
  <c r="J35" i="10"/>
  <c r="K37" i="10"/>
  <c r="H10" i="8"/>
  <c r="B13" i="8"/>
  <c r="E12" i="8"/>
  <c r="K10" i="8"/>
  <c r="AZ13" i="8"/>
  <c r="BA15" i="8"/>
  <c r="AC36" i="8"/>
  <c r="K36" i="8"/>
  <c r="S9" i="8"/>
  <c r="T9" i="8" s="1"/>
  <c r="AA9" i="8" s="1"/>
  <c r="P9" i="8"/>
  <c r="Q9" i="8" s="1"/>
  <c r="Z9" i="8" s="1"/>
  <c r="AZ14" i="8"/>
  <c r="S10" i="8"/>
  <c r="T10" i="8" s="1"/>
  <c r="AA10" i="8" s="1"/>
  <c r="J11" i="8"/>
  <c r="BA18" i="8"/>
  <c r="F9" i="8"/>
  <c r="M9" i="8" s="1"/>
  <c r="F11" i="8"/>
  <c r="AC35" i="8"/>
  <c r="H36" i="8"/>
  <c r="J9" i="8"/>
  <c r="AC34" i="8"/>
  <c r="K34" i="8"/>
  <c r="AC37" i="8"/>
  <c r="H34" i="8"/>
  <c r="H35" i="8"/>
  <c r="H37" i="8"/>
  <c r="Z37" i="10" l="1"/>
  <c r="AB37" i="10" s="1"/>
  <c r="N37" i="10"/>
  <c r="AA37" i="10"/>
  <c r="B18" i="10"/>
  <c r="E17" i="10"/>
  <c r="C17" i="10"/>
  <c r="AM17" i="10"/>
  <c r="Y9" i="10"/>
  <c r="AA9" i="10"/>
  <c r="K9" i="10"/>
  <c r="P36" i="10"/>
  <c r="Q36" i="10" s="1"/>
  <c r="V36" i="10" s="1"/>
  <c r="S36" i="10"/>
  <c r="H36" i="10"/>
  <c r="G15" i="10"/>
  <c r="H15" i="10" s="1"/>
  <c r="J15" i="10"/>
  <c r="AT15" i="10"/>
  <c r="F15" i="10"/>
  <c r="M15" i="10" s="1"/>
  <c r="S15" i="10"/>
  <c r="Q20" i="10"/>
  <c r="P15" i="10"/>
  <c r="Q15" i="10" s="1"/>
  <c r="V15" i="10" s="1"/>
  <c r="Y14" i="10"/>
  <c r="AA14" i="10"/>
  <c r="K14" i="10"/>
  <c r="S12" i="10"/>
  <c r="T12" i="10" s="1"/>
  <c r="W12" i="10" s="1"/>
  <c r="P12" i="10"/>
  <c r="Q12" i="10" s="1"/>
  <c r="V12" i="10" s="1"/>
  <c r="K34" i="10"/>
  <c r="Y34" i="10"/>
  <c r="AA34" i="10"/>
  <c r="J16" i="10"/>
  <c r="G16" i="10"/>
  <c r="H16" i="10" s="1"/>
  <c r="F16" i="10"/>
  <c r="M16" i="10" s="1"/>
  <c r="M12" i="10"/>
  <c r="N36" i="10"/>
  <c r="P37" i="10"/>
  <c r="Q37" i="10" s="1"/>
  <c r="V37" i="10" s="1"/>
  <c r="S37" i="10"/>
  <c r="P13" i="10"/>
  <c r="Q13" i="10" s="1"/>
  <c r="V13" i="10" s="1"/>
  <c r="H9" i="10"/>
  <c r="S14" i="10"/>
  <c r="P14" i="10"/>
  <c r="Q14" i="10" s="1"/>
  <c r="V14" i="10" s="1"/>
  <c r="Q19" i="10"/>
  <c r="N9" i="10"/>
  <c r="S35" i="10"/>
  <c r="P35" i="10"/>
  <c r="Q35" i="10" s="1"/>
  <c r="V35" i="10" s="1"/>
  <c r="S16" i="10"/>
  <c r="Y35" i="10"/>
  <c r="K35" i="10"/>
  <c r="G13" i="10"/>
  <c r="H13" i="10" s="1"/>
  <c r="J13" i="10"/>
  <c r="AT13" i="10"/>
  <c r="F13" i="10"/>
  <c r="M13" i="10" s="1"/>
  <c r="M35" i="10"/>
  <c r="Y12" i="10"/>
  <c r="K12" i="10"/>
  <c r="AA12" i="10"/>
  <c r="P11" i="10"/>
  <c r="Q11" i="10" s="1"/>
  <c r="V11" i="10" s="1"/>
  <c r="S11" i="10"/>
  <c r="T11" i="10" s="1"/>
  <c r="W11" i="10" s="1"/>
  <c r="M11" i="10"/>
  <c r="Y36" i="10"/>
  <c r="K36" i="10"/>
  <c r="AA36" i="10"/>
  <c r="M14" i="10"/>
  <c r="S34" i="10"/>
  <c r="P34" i="10"/>
  <c r="Q34" i="10" s="1"/>
  <c r="V34" i="10" s="1"/>
  <c r="S9" i="10"/>
  <c r="T9" i="10" s="1"/>
  <c r="W9" i="10" s="1"/>
  <c r="AQ13" i="8"/>
  <c r="E13" i="8"/>
  <c r="B14" i="8"/>
  <c r="AD9" i="8"/>
  <c r="AF9" i="8" s="1"/>
  <c r="W9" i="8"/>
  <c r="X9" i="8" s="1"/>
  <c r="AC9" i="8"/>
  <c r="K9" i="8"/>
  <c r="V9" i="8"/>
  <c r="AE9" i="8"/>
  <c r="F12" i="8"/>
  <c r="J12" i="8"/>
  <c r="G12" i="8"/>
  <c r="H12" i="8" s="1"/>
  <c r="AX12" i="8"/>
  <c r="H9" i="8"/>
  <c r="H11" i="8"/>
  <c r="AC11" i="8"/>
  <c r="K11" i="8"/>
  <c r="W10" i="8"/>
  <c r="X10" i="8" s="1"/>
  <c r="P17" i="10" l="1"/>
  <c r="Q22" i="10" s="1"/>
  <c r="AQ14" i="10"/>
  <c r="AP14" i="10"/>
  <c r="AN14" i="10" s="1"/>
  <c r="Z14" i="10"/>
  <c r="AB14" i="10" s="1"/>
  <c r="N14" i="10"/>
  <c r="Q16" i="10"/>
  <c r="V16" i="10" s="1"/>
  <c r="AQ13" i="10"/>
  <c r="Z13" i="10"/>
  <c r="AB13" i="10" s="1"/>
  <c r="AP13" i="10"/>
  <c r="AN13" i="10" s="1"/>
  <c r="N13" i="10"/>
  <c r="T35" i="10"/>
  <c r="W35" i="10"/>
  <c r="W14" i="10"/>
  <c r="T14" i="10"/>
  <c r="S13" i="10"/>
  <c r="T13" i="10" s="1"/>
  <c r="W13" i="10" s="1"/>
  <c r="AQ12" i="10"/>
  <c r="AP12" i="10"/>
  <c r="AN12" i="10" s="1"/>
  <c r="Z12" i="10"/>
  <c r="AB12" i="10" s="1"/>
  <c r="N12" i="10"/>
  <c r="AQ15" i="10"/>
  <c r="Z15" i="10"/>
  <c r="AB15" i="10" s="1"/>
  <c r="AP15" i="10"/>
  <c r="AN15" i="10" s="1"/>
  <c r="N15" i="10"/>
  <c r="F17" i="10"/>
  <c r="AT17" i="10"/>
  <c r="G17" i="10"/>
  <c r="H17" i="10" s="1"/>
  <c r="M17" i="10"/>
  <c r="J17" i="10"/>
  <c r="Y13" i="10"/>
  <c r="AA13" i="10"/>
  <c r="K13" i="10"/>
  <c r="W16" i="10"/>
  <c r="T16" i="10"/>
  <c r="V19" i="10"/>
  <c r="Y15" i="10"/>
  <c r="AA15" i="10"/>
  <c r="K15" i="10"/>
  <c r="E18" i="10"/>
  <c r="B19" i="10"/>
  <c r="AM18" i="10"/>
  <c r="C18" i="10"/>
  <c r="W34" i="10"/>
  <c r="T34" i="10"/>
  <c r="Z35" i="10"/>
  <c r="AB35" i="10" s="1"/>
  <c r="N35" i="10"/>
  <c r="Q18" i="10"/>
  <c r="V18" i="10" s="1"/>
  <c r="Y16" i="10"/>
  <c r="AA16" i="10"/>
  <c r="K16" i="10"/>
  <c r="T15" i="10"/>
  <c r="W15" i="10"/>
  <c r="AQ11" i="10"/>
  <c r="Z11" i="10"/>
  <c r="AB11" i="10" s="1"/>
  <c r="AS11" i="10"/>
  <c r="N11" i="10"/>
  <c r="AA11" i="10"/>
  <c r="AA35" i="10"/>
  <c r="P16" i="10"/>
  <c r="Q21" i="10" s="1"/>
  <c r="W37" i="10"/>
  <c r="T37" i="10"/>
  <c r="Z16" i="10"/>
  <c r="AB16" i="10" s="1"/>
  <c r="N16" i="10"/>
  <c r="O16" i="10" s="1"/>
  <c r="Q17" i="10"/>
  <c r="V17" i="10" s="1"/>
  <c r="T36" i="10"/>
  <c r="W36" i="10"/>
  <c r="B15" i="8"/>
  <c r="E14" i="8"/>
  <c r="AQ14" i="8"/>
  <c r="AX13" i="8"/>
  <c r="G13" i="8"/>
  <c r="F13" i="8"/>
  <c r="J13" i="8"/>
  <c r="AC12" i="8"/>
  <c r="K12" i="8"/>
  <c r="E19" i="10" l="1"/>
  <c r="C19" i="10"/>
  <c r="B20" i="10"/>
  <c r="AM19" i="10"/>
  <c r="AT18" i="10"/>
  <c r="M18" i="10"/>
  <c r="G18" i="10"/>
  <c r="F18" i="10"/>
  <c r="J18" i="10"/>
  <c r="K17" i="10"/>
  <c r="AA17" i="10"/>
  <c r="Y17" i="10"/>
  <c r="S17" i="10"/>
  <c r="AP17" i="10"/>
  <c r="AN17" i="10" s="1"/>
  <c r="AQ17" i="10"/>
  <c r="Z17" i="10"/>
  <c r="AB17" i="10" s="1"/>
  <c r="N17" i="10"/>
  <c r="H13" i="8"/>
  <c r="F14" i="8"/>
  <c r="AX14" i="8"/>
  <c r="G14" i="8"/>
  <c r="J14" i="8"/>
  <c r="B16" i="8"/>
  <c r="E15" i="8"/>
  <c r="C15" i="8"/>
  <c r="AQ15" i="8"/>
  <c r="AC13" i="8"/>
  <c r="K13" i="8"/>
  <c r="Y18" i="10" l="1"/>
  <c r="AA18" i="10"/>
  <c r="K18" i="10"/>
  <c r="P18" i="10"/>
  <c r="Q23" i="10" s="1"/>
  <c r="H18" i="10"/>
  <c r="J19" i="10"/>
  <c r="M19" i="10"/>
  <c r="F19" i="10"/>
  <c r="AT19" i="10"/>
  <c r="G19" i="10"/>
  <c r="W17" i="10"/>
  <c r="T17" i="10"/>
  <c r="B21" i="10"/>
  <c r="C20" i="10"/>
  <c r="E20" i="10"/>
  <c r="AM20" i="10"/>
  <c r="V20" i="10"/>
  <c r="P19" i="10"/>
  <c r="Q24" i="10" s="1"/>
  <c r="S18" i="10"/>
  <c r="AQ18" i="10"/>
  <c r="Z18" i="10"/>
  <c r="AB18" i="10" s="1"/>
  <c r="N18" i="10"/>
  <c r="P15" i="8"/>
  <c r="Q15" i="8" s="1"/>
  <c r="Z15" i="8" s="1"/>
  <c r="S15" i="8"/>
  <c r="J15" i="8"/>
  <c r="G15" i="8"/>
  <c r="AX15" i="8"/>
  <c r="F15" i="8"/>
  <c r="M15" i="8" s="1"/>
  <c r="C37" i="8"/>
  <c r="C35" i="8"/>
  <c r="C36" i="8"/>
  <c r="E16" i="8"/>
  <c r="C34" i="8"/>
  <c r="N10" i="8"/>
  <c r="B17" i="8"/>
  <c r="B18" i="8"/>
  <c r="C11" i="8"/>
  <c r="N9" i="8"/>
  <c r="C16" i="8"/>
  <c r="C12" i="8"/>
  <c r="C13" i="8"/>
  <c r="C14" i="8"/>
  <c r="M14" i="8"/>
  <c r="AE14" i="8"/>
  <c r="AC14" i="8"/>
  <c r="K14" i="8"/>
  <c r="N15" i="8"/>
  <c r="H14" i="8"/>
  <c r="AQ19" i="10" l="1"/>
  <c r="Z19" i="10"/>
  <c r="AB19" i="10" s="1"/>
  <c r="N19" i="10"/>
  <c r="T18" i="10"/>
  <c r="W18" i="10"/>
  <c r="H19" i="10"/>
  <c r="AA19" i="10"/>
  <c r="K19" i="10"/>
  <c r="Y19" i="10"/>
  <c r="AT20" i="10"/>
  <c r="F20" i="10"/>
  <c r="M20" i="10" s="1"/>
  <c r="J20" i="10"/>
  <c r="G20" i="10"/>
  <c r="H20" i="10" s="1"/>
  <c r="Q25" i="10"/>
  <c r="P20" i="10"/>
  <c r="S19" i="10"/>
  <c r="B22" i="10"/>
  <c r="E21" i="10"/>
  <c r="C21" i="10"/>
  <c r="AM21" i="10"/>
  <c r="V21" i="10"/>
  <c r="S13" i="8"/>
  <c r="T13" i="8" s="1"/>
  <c r="AA13" i="8" s="1"/>
  <c r="P13" i="8"/>
  <c r="M13" i="8"/>
  <c r="S34" i="8"/>
  <c r="P34" i="8"/>
  <c r="M34" i="8"/>
  <c r="B19" i="8"/>
  <c r="C18" i="8"/>
  <c r="E18" i="8"/>
  <c r="AQ18" i="8"/>
  <c r="P35" i="8"/>
  <c r="S35" i="8"/>
  <c r="M35" i="8"/>
  <c r="AA15" i="8"/>
  <c r="T15" i="8"/>
  <c r="S14" i="8"/>
  <c r="P14" i="8"/>
  <c r="Q19" i="8" s="1"/>
  <c r="Z19" i="8" s="1"/>
  <c r="P12" i="8"/>
  <c r="S12" i="8"/>
  <c r="T12" i="8" s="1"/>
  <c r="AA12" i="8" s="1"/>
  <c r="Q17" i="8"/>
  <c r="Z17" i="8" s="1"/>
  <c r="M12" i="8"/>
  <c r="E17" i="8"/>
  <c r="C17" i="8"/>
  <c r="G16" i="8"/>
  <c r="H16" i="8" s="1"/>
  <c r="J16" i="8"/>
  <c r="P16" i="8" s="1"/>
  <c r="Q21" i="8" s="1"/>
  <c r="F16" i="8"/>
  <c r="M16" i="8" s="1"/>
  <c r="V15" i="8"/>
  <c r="AE15" i="8"/>
  <c r="K15" i="8"/>
  <c r="AC15" i="8"/>
  <c r="AU14" i="8"/>
  <c r="AD14" i="8"/>
  <c r="AF14" i="8" s="1"/>
  <c r="AT15" i="8"/>
  <c r="AR15" i="8" s="1"/>
  <c r="AD15" i="8"/>
  <c r="AF15" i="8" s="1"/>
  <c r="AU15" i="8"/>
  <c r="W15" i="8"/>
  <c r="N14" i="8"/>
  <c r="Q16" i="8"/>
  <c r="Z16" i="8" s="1"/>
  <c r="S11" i="8"/>
  <c r="T11" i="8" s="1"/>
  <c r="AA11" i="8" s="1"/>
  <c r="P11" i="8"/>
  <c r="M11" i="8"/>
  <c r="S36" i="8"/>
  <c r="P36" i="8"/>
  <c r="M36" i="8"/>
  <c r="P37" i="8"/>
  <c r="S37" i="8"/>
  <c r="M37" i="8"/>
  <c r="H15" i="8"/>
  <c r="Q20" i="8"/>
  <c r="B23" i="10" l="1"/>
  <c r="E22" i="10"/>
  <c r="C22" i="10"/>
  <c r="AM22" i="10"/>
  <c r="V22" i="10"/>
  <c r="S21" i="10"/>
  <c r="P21" i="10"/>
  <c r="Q26" i="10" s="1"/>
  <c r="T19" i="10"/>
  <c r="W19" i="10"/>
  <c r="AT21" i="10"/>
  <c r="G21" i="10"/>
  <c r="H21" i="10" s="1"/>
  <c r="F21" i="10"/>
  <c r="M21" i="10" s="1"/>
  <c r="J21" i="10"/>
  <c r="AA20" i="10"/>
  <c r="K20" i="10"/>
  <c r="Y20" i="10"/>
  <c r="S20" i="10"/>
  <c r="Z20" i="10"/>
  <c r="AB20" i="10" s="1"/>
  <c r="AQ20" i="10"/>
  <c r="N20" i="10"/>
  <c r="AA37" i="8"/>
  <c r="T37" i="8"/>
  <c r="T36" i="8"/>
  <c r="AA36" i="8"/>
  <c r="AU12" i="8"/>
  <c r="W12" i="8"/>
  <c r="AT12" i="8"/>
  <c r="AR12" i="8" s="1"/>
  <c r="AD12" i="8"/>
  <c r="AF12" i="8" s="1"/>
  <c r="AE12" i="8"/>
  <c r="N12" i="8"/>
  <c r="B20" i="8"/>
  <c r="E19" i="8"/>
  <c r="C19" i="8"/>
  <c r="AQ19" i="8"/>
  <c r="AD13" i="8"/>
  <c r="AF13" i="8" s="1"/>
  <c r="AT13" i="8"/>
  <c r="AR13" i="8" s="1"/>
  <c r="AU13" i="8"/>
  <c r="W13" i="8"/>
  <c r="X13" i="8" s="1"/>
  <c r="AE13" i="8"/>
  <c r="N13" i="8"/>
  <c r="T14" i="8"/>
  <c r="AA14" i="8"/>
  <c r="AD35" i="8"/>
  <c r="AF35" i="8" s="1"/>
  <c r="W35" i="8"/>
  <c r="AE35" i="8"/>
  <c r="N35" i="8"/>
  <c r="AD36" i="8"/>
  <c r="AF36" i="8" s="1"/>
  <c r="W36" i="8"/>
  <c r="AE36" i="8"/>
  <c r="N36" i="8"/>
  <c r="Q11" i="8"/>
  <c r="Z11" i="8" s="1"/>
  <c r="V11" i="8"/>
  <c r="X15" i="8"/>
  <c r="AT14" i="8"/>
  <c r="AR14" i="8" s="1"/>
  <c r="W16" i="8"/>
  <c r="X16" i="8" s="1"/>
  <c r="AD16" i="8"/>
  <c r="AF16" i="8" s="1"/>
  <c r="N16" i="8"/>
  <c r="O16" i="8" s="1"/>
  <c r="F17" i="8"/>
  <c r="M17" i="8" s="1"/>
  <c r="J17" i="8"/>
  <c r="P17" i="8" s="1"/>
  <c r="G17" i="8"/>
  <c r="AA35" i="8"/>
  <c r="T35" i="8"/>
  <c r="Q23" i="8"/>
  <c r="P18" i="8"/>
  <c r="Q34" i="8"/>
  <c r="Z34" i="8" s="1"/>
  <c r="V34" i="8"/>
  <c r="Q14" i="8"/>
  <c r="Z14" i="8" s="1"/>
  <c r="V14" i="8"/>
  <c r="S16" i="8"/>
  <c r="Z20" i="8"/>
  <c r="Q37" i="8"/>
  <c r="Z37" i="8" s="1"/>
  <c r="V37" i="8"/>
  <c r="AD11" i="8"/>
  <c r="AF11" i="8" s="1"/>
  <c r="W11" i="8"/>
  <c r="X11" i="8" s="1"/>
  <c r="AW11" i="8"/>
  <c r="AU11" i="8"/>
  <c r="AE11" i="8"/>
  <c r="N11" i="8"/>
  <c r="F18" i="8"/>
  <c r="J18" i="8"/>
  <c r="AX18" i="8"/>
  <c r="M18" i="8"/>
  <c r="G18" i="8"/>
  <c r="H18" i="8" s="1"/>
  <c r="AD34" i="8"/>
  <c r="AF34" i="8" s="1"/>
  <c r="W34" i="8"/>
  <c r="AE34" i="8"/>
  <c r="N34" i="8"/>
  <c r="Q13" i="8"/>
  <c r="Z13" i="8" s="1"/>
  <c r="V13" i="8"/>
  <c r="AD37" i="8"/>
  <c r="AF37" i="8" s="1"/>
  <c r="W37" i="8"/>
  <c r="X37" i="8" s="1"/>
  <c r="AE37" i="8"/>
  <c r="N37" i="8"/>
  <c r="Q36" i="8"/>
  <c r="Z36" i="8" s="1"/>
  <c r="V36" i="8"/>
  <c r="W14" i="8"/>
  <c r="X14" i="8" s="1"/>
  <c r="AC16" i="8"/>
  <c r="AE16" i="8"/>
  <c r="V16" i="8"/>
  <c r="K16" i="8"/>
  <c r="Q12" i="8"/>
  <c r="Z12" i="8" s="1"/>
  <c r="V12" i="8"/>
  <c r="Q35" i="8"/>
  <c r="Z35" i="8" s="1"/>
  <c r="V35" i="8"/>
  <c r="T34" i="8"/>
  <c r="AA34" i="8"/>
  <c r="Q18" i="8"/>
  <c r="Z18" i="8" s="1"/>
  <c r="Y21" i="10" l="1"/>
  <c r="AA21" i="10"/>
  <c r="K21" i="10"/>
  <c r="AQ21" i="10"/>
  <c r="Z21" i="10"/>
  <c r="AB21" i="10" s="1"/>
  <c r="N21" i="10"/>
  <c r="AT22" i="10"/>
  <c r="F22" i="10"/>
  <c r="M22" i="10" s="1"/>
  <c r="J22" i="10"/>
  <c r="P22" i="10" s="1"/>
  <c r="Q27" i="10" s="1"/>
  <c r="G22" i="10"/>
  <c r="B24" i="10"/>
  <c r="AM23" i="10"/>
  <c r="E23" i="10"/>
  <c r="C23" i="10"/>
  <c r="V23" i="10"/>
  <c r="T20" i="10"/>
  <c r="W20" i="10"/>
  <c r="W21" i="10"/>
  <c r="T21" i="10"/>
  <c r="AD18" i="8"/>
  <c r="AF18" i="8" s="1"/>
  <c r="AU18" i="8"/>
  <c r="W18" i="8"/>
  <c r="X18" i="8" s="1"/>
  <c r="N18" i="8"/>
  <c r="T16" i="8"/>
  <c r="AA16" i="8"/>
  <c r="W17" i="8"/>
  <c r="N17" i="8"/>
  <c r="O17" i="8" s="1"/>
  <c r="X12" i="8"/>
  <c r="AE18" i="8"/>
  <c r="K18" i="8"/>
  <c r="AC18" i="8"/>
  <c r="V18" i="8"/>
  <c r="S18" i="8"/>
  <c r="P19" i="8"/>
  <c r="Q24" i="8" s="1"/>
  <c r="V17" i="8"/>
  <c r="K17" i="8"/>
  <c r="B21" i="8"/>
  <c r="E20" i="8"/>
  <c r="AQ20" i="8"/>
  <c r="C20" i="8"/>
  <c r="X34" i="8"/>
  <c r="H17" i="8"/>
  <c r="X36" i="8"/>
  <c r="X35" i="8"/>
  <c r="S17" i="8"/>
  <c r="AX19" i="8"/>
  <c r="F19" i="8"/>
  <c r="M19" i="8"/>
  <c r="J19" i="8"/>
  <c r="G19" i="8"/>
  <c r="Z22" i="10" l="1"/>
  <c r="AB22" i="10" s="1"/>
  <c r="AQ22" i="10"/>
  <c r="N22" i="10"/>
  <c r="P23" i="10"/>
  <c r="Q28" i="10" s="1"/>
  <c r="B25" i="10"/>
  <c r="E24" i="10"/>
  <c r="C24" i="10"/>
  <c r="V24" i="10"/>
  <c r="AT23" i="10"/>
  <c r="G23" i="10"/>
  <c r="H23" i="10" s="1"/>
  <c r="J23" i="10"/>
  <c r="F23" i="10"/>
  <c r="M23" i="10" s="1"/>
  <c r="H22" i="10"/>
  <c r="S22" i="10"/>
  <c r="AA22" i="10"/>
  <c r="Y22" i="10"/>
  <c r="K22" i="10"/>
  <c r="H19" i="8"/>
  <c r="AA17" i="8"/>
  <c r="T17" i="8"/>
  <c r="AX20" i="8"/>
  <c r="F20" i="8"/>
  <c r="M20" i="8" s="1"/>
  <c r="G20" i="8"/>
  <c r="H20" i="8" s="1"/>
  <c r="J20" i="8"/>
  <c r="AA18" i="8"/>
  <c r="T18" i="8"/>
  <c r="X17" i="8"/>
  <c r="AC19" i="8"/>
  <c r="K19" i="8"/>
  <c r="AE19" i="8"/>
  <c r="V19" i="8"/>
  <c r="AU19" i="8"/>
  <c r="AD19" i="8"/>
  <c r="AF19" i="8" s="1"/>
  <c r="N19" i="8"/>
  <c r="P20" i="8"/>
  <c r="Q25" i="8" s="1"/>
  <c r="B22" i="8"/>
  <c r="E21" i="8"/>
  <c r="C21" i="8"/>
  <c r="AQ21" i="8"/>
  <c r="Z21" i="8"/>
  <c r="S19" i="8"/>
  <c r="T22" i="10" l="1"/>
  <c r="W22" i="10"/>
  <c r="F24" i="10"/>
  <c r="M24" i="10" s="1"/>
  <c r="J24" i="10"/>
  <c r="G24" i="10"/>
  <c r="S23" i="10"/>
  <c r="Z23" i="10"/>
  <c r="AB23" i="10" s="1"/>
  <c r="AQ23" i="10"/>
  <c r="N23" i="10"/>
  <c r="C25" i="10"/>
  <c r="G25" i="10"/>
  <c r="E25" i="10"/>
  <c r="B26" i="10"/>
  <c r="AM25" i="10"/>
  <c r="V25" i="10"/>
  <c r="Y23" i="10"/>
  <c r="K23" i="10"/>
  <c r="AA23" i="10"/>
  <c r="Q29" i="10"/>
  <c r="P24" i="10"/>
  <c r="S24" i="10"/>
  <c r="AA19" i="8"/>
  <c r="T19" i="8"/>
  <c r="P21" i="8"/>
  <c r="Q26" i="8" s="1"/>
  <c r="AX21" i="8"/>
  <c r="F21" i="8"/>
  <c r="M21" i="8" s="1"/>
  <c r="J21" i="8"/>
  <c r="G21" i="8"/>
  <c r="W19" i="8"/>
  <c r="X19" i="8" s="1"/>
  <c r="AC20" i="8"/>
  <c r="K20" i="8"/>
  <c r="AE20" i="8"/>
  <c r="V20" i="8"/>
  <c r="AQ22" i="8"/>
  <c r="E22" i="8"/>
  <c r="B23" i="8"/>
  <c r="Z22" i="8"/>
  <c r="C22" i="8"/>
  <c r="S20" i="8"/>
  <c r="W20" i="8"/>
  <c r="X20" i="8" s="1"/>
  <c r="AD20" i="8"/>
  <c r="AF20" i="8" s="1"/>
  <c r="AU20" i="8"/>
  <c r="N20" i="8"/>
  <c r="S25" i="10" l="1"/>
  <c r="W23" i="10"/>
  <c r="T23" i="10"/>
  <c r="W24" i="10"/>
  <c r="T24" i="10"/>
  <c r="E26" i="10"/>
  <c r="C26" i="10"/>
  <c r="B27" i="10"/>
  <c r="G26" i="10"/>
  <c r="AM26" i="10"/>
  <c r="V26" i="10"/>
  <c r="H24" i="10"/>
  <c r="Z24" i="10"/>
  <c r="AB24" i="10" s="1"/>
  <c r="N24" i="10"/>
  <c r="F25" i="10"/>
  <c r="M25" i="10" s="1"/>
  <c r="J25" i="10"/>
  <c r="P25" i="10" s="1"/>
  <c r="Q30" i="10" s="1"/>
  <c r="AT25" i="10"/>
  <c r="K24" i="10"/>
  <c r="Y24" i="10"/>
  <c r="AA24" i="10"/>
  <c r="T20" i="8"/>
  <c r="AA20" i="8"/>
  <c r="AQ23" i="8"/>
  <c r="C23" i="8"/>
  <c r="B24" i="8"/>
  <c r="E23" i="8"/>
  <c r="Z23" i="8"/>
  <c r="H21" i="8"/>
  <c r="W21" i="8"/>
  <c r="X21" i="8" s="1"/>
  <c r="AU21" i="8"/>
  <c r="AD21" i="8"/>
  <c r="AF21" i="8" s="1"/>
  <c r="N21" i="8"/>
  <c r="P22" i="8"/>
  <c r="Q27" i="8" s="1"/>
  <c r="AX22" i="8"/>
  <c r="F22" i="8"/>
  <c r="M22" i="8" s="1"/>
  <c r="G22" i="8"/>
  <c r="H22" i="8" s="1"/>
  <c r="J22" i="8"/>
  <c r="AC21" i="8"/>
  <c r="K21" i="8"/>
  <c r="AE21" i="8"/>
  <c r="V21" i="8"/>
  <c r="S21" i="8"/>
  <c r="H25" i="10" l="1"/>
  <c r="B28" i="10"/>
  <c r="C27" i="10"/>
  <c r="E27" i="10"/>
  <c r="G27" i="10"/>
  <c r="AM27" i="10"/>
  <c r="V27" i="10"/>
  <c r="AQ25" i="10"/>
  <c r="Z25" i="10"/>
  <c r="AB25" i="10" s="1"/>
  <c r="N25" i="10"/>
  <c r="J26" i="10"/>
  <c r="F26" i="10"/>
  <c r="M26" i="10" s="1"/>
  <c r="AT26" i="10"/>
  <c r="K25" i="10"/>
  <c r="Y25" i="10"/>
  <c r="AA25" i="10"/>
  <c r="P26" i="10"/>
  <c r="Q31" i="10" s="1"/>
  <c r="S26" i="10"/>
  <c r="W25" i="10"/>
  <c r="T25" i="10"/>
  <c r="S22" i="8"/>
  <c r="AA21" i="8"/>
  <c r="T21" i="8"/>
  <c r="B25" i="8"/>
  <c r="E24" i="8"/>
  <c r="C24" i="8"/>
  <c r="Z24" i="8"/>
  <c r="AX23" i="8"/>
  <c r="F23" i="8"/>
  <c r="M23" i="8" s="1"/>
  <c r="J23" i="8"/>
  <c r="G23" i="8"/>
  <c r="W22" i="8"/>
  <c r="AD22" i="8"/>
  <c r="AF22" i="8" s="1"/>
  <c r="AU22" i="8"/>
  <c r="N22" i="8"/>
  <c r="AC22" i="8"/>
  <c r="K22" i="8"/>
  <c r="V22" i="8"/>
  <c r="AE22" i="8"/>
  <c r="S23" i="8"/>
  <c r="P23" i="8"/>
  <c r="Q28" i="8" s="1"/>
  <c r="AQ26" i="10" l="1"/>
  <c r="Z26" i="10"/>
  <c r="AB26" i="10" s="1"/>
  <c r="N26" i="10"/>
  <c r="AT27" i="10"/>
  <c r="F27" i="10"/>
  <c r="M27" i="10" s="1"/>
  <c r="J27" i="10"/>
  <c r="H26" i="10"/>
  <c r="G28" i="10"/>
  <c r="B29" i="10"/>
  <c r="AM28" i="10"/>
  <c r="E28" i="10"/>
  <c r="C28" i="10"/>
  <c r="V28" i="10"/>
  <c r="T26" i="10"/>
  <c r="W26" i="10"/>
  <c r="AA26" i="10"/>
  <c r="K26" i="10"/>
  <c r="Y26" i="10"/>
  <c r="S27" i="10"/>
  <c r="P27" i="10"/>
  <c r="Q32" i="10" s="1"/>
  <c r="H27" i="10"/>
  <c r="AC23" i="8"/>
  <c r="K23" i="8"/>
  <c r="V23" i="8"/>
  <c r="AE23" i="8"/>
  <c r="W23" i="8"/>
  <c r="AU23" i="8"/>
  <c r="AD23" i="8"/>
  <c r="AF23" i="8" s="1"/>
  <c r="N23" i="8"/>
  <c r="X22" i="8"/>
  <c r="F24" i="8"/>
  <c r="M24" i="8" s="1"/>
  <c r="J24" i="8"/>
  <c r="G24" i="8"/>
  <c r="H24" i="8" s="1"/>
  <c r="AA22" i="8"/>
  <c r="T22" i="8"/>
  <c r="S24" i="8"/>
  <c r="AA23" i="8"/>
  <c r="T23" i="8"/>
  <c r="H23" i="8"/>
  <c r="E25" i="8"/>
  <c r="G25" i="8"/>
  <c r="C25" i="8"/>
  <c r="B26" i="8"/>
  <c r="AQ25" i="8"/>
  <c r="Z25" i="8"/>
  <c r="T27" i="10" l="1"/>
  <c r="W27" i="10"/>
  <c r="AT28" i="10"/>
  <c r="F28" i="10"/>
  <c r="M28" i="10" s="1"/>
  <c r="J28" i="10"/>
  <c r="AA27" i="10"/>
  <c r="K27" i="10"/>
  <c r="Y27" i="10"/>
  <c r="S28" i="10"/>
  <c r="P28" i="10"/>
  <c r="Q33" i="10" s="1"/>
  <c r="B30" i="10"/>
  <c r="G29" i="10"/>
  <c r="C29" i="10"/>
  <c r="E29" i="10"/>
  <c r="AM29" i="10"/>
  <c r="V29" i="10"/>
  <c r="Z27" i="10"/>
  <c r="AB27" i="10" s="1"/>
  <c r="AQ27" i="10"/>
  <c r="N27" i="10"/>
  <c r="W24" i="8"/>
  <c r="AD24" i="8"/>
  <c r="AF24" i="8" s="1"/>
  <c r="N24" i="8"/>
  <c r="H25" i="8"/>
  <c r="AC24" i="8"/>
  <c r="K24" i="8"/>
  <c r="AE24" i="8"/>
  <c r="E26" i="8"/>
  <c r="G26" i="8"/>
  <c r="C26" i="8"/>
  <c r="B27" i="8"/>
  <c r="AQ26" i="8"/>
  <c r="Z26" i="8"/>
  <c r="J25" i="8"/>
  <c r="AX25" i="8"/>
  <c r="F25" i="8"/>
  <c r="M25" i="8" s="1"/>
  <c r="AA24" i="8"/>
  <c r="T24" i="8"/>
  <c r="X23" i="8"/>
  <c r="S25" i="8"/>
  <c r="P24" i="8"/>
  <c r="Q29" i="8" s="1"/>
  <c r="S29" i="10" l="1"/>
  <c r="AQ28" i="10"/>
  <c r="Z28" i="10"/>
  <c r="AB28" i="10" s="1"/>
  <c r="N28" i="10"/>
  <c r="W28" i="10"/>
  <c r="T28" i="10"/>
  <c r="H28" i="10"/>
  <c r="F29" i="10"/>
  <c r="M29" i="10" s="1"/>
  <c r="AT29" i="10"/>
  <c r="J29" i="10"/>
  <c r="E30" i="10"/>
  <c r="C30" i="10"/>
  <c r="B31" i="10"/>
  <c r="G30" i="10"/>
  <c r="AM30" i="10"/>
  <c r="V30" i="10"/>
  <c r="Y28" i="10"/>
  <c r="AA28" i="10"/>
  <c r="K28" i="10"/>
  <c r="AA25" i="8"/>
  <c r="T25" i="8"/>
  <c r="AE25" i="8"/>
  <c r="K25" i="8"/>
  <c r="AC25" i="8"/>
  <c r="V24" i="8"/>
  <c r="P25" i="8"/>
  <c r="Q30" i="8" s="1"/>
  <c r="AU25" i="8"/>
  <c r="AD25" i="8"/>
  <c r="AF25" i="8" s="1"/>
  <c r="W25" i="8"/>
  <c r="N25" i="8"/>
  <c r="S26" i="8"/>
  <c r="E27" i="8"/>
  <c r="B28" i="8"/>
  <c r="C27" i="8"/>
  <c r="G27" i="8"/>
  <c r="AQ27" i="8"/>
  <c r="Z27" i="8"/>
  <c r="J26" i="8"/>
  <c r="P26" i="8" s="1"/>
  <c r="Q31" i="8" s="1"/>
  <c r="F26" i="8"/>
  <c r="M26" i="8" s="1"/>
  <c r="AX26" i="8"/>
  <c r="X24" i="8"/>
  <c r="K29" i="10" l="1"/>
  <c r="Y29" i="10"/>
  <c r="AA29" i="10"/>
  <c r="B32" i="10"/>
  <c r="C31" i="10"/>
  <c r="E31" i="10"/>
  <c r="G31" i="10"/>
  <c r="AM31" i="10"/>
  <c r="V31" i="10"/>
  <c r="S30" i="10"/>
  <c r="AQ29" i="10"/>
  <c r="Z29" i="10"/>
  <c r="AB29" i="10" s="1"/>
  <c r="N29" i="10"/>
  <c r="H29" i="10"/>
  <c r="W29" i="10"/>
  <c r="T29" i="10"/>
  <c r="J30" i="10"/>
  <c r="F30" i="10"/>
  <c r="M30" i="10" s="1"/>
  <c r="AT30" i="10"/>
  <c r="P29" i="10"/>
  <c r="S27" i="8"/>
  <c r="E28" i="8"/>
  <c r="AQ28" i="8"/>
  <c r="C28" i="8"/>
  <c r="B29" i="8"/>
  <c r="G28" i="8"/>
  <c r="Z28" i="8"/>
  <c r="H26" i="8"/>
  <c r="V25" i="8"/>
  <c r="X25" i="8" s="1"/>
  <c r="AU26" i="8"/>
  <c r="AD26" i="8"/>
  <c r="AF26" i="8" s="1"/>
  <c r="W26" i="8"/>
  <c r="N26" i="8"/>
  <c r="H27" i="8"/>
  <c r="J27" i="8"/>
  <c r="F27" i="8"/>
  <c r="M27" i="8" s="1"/>
  <c r="AX27" i="8"/>
  <c r="AA26" i="8"/>
  <c r="T26" i="8"/>
  <c r="V26" i="8"/>
  <c r="AC26" i="8"/>
  <c r="K26" i="8"/>
  <c r="AE26" i="8"/>
  <c r="Z30" i="10" l="1"/>
  <c r="AB30" i="10" s="1"/>
  <c r="AQ30" i="10"/>
  <c r="N30" i="10"/>
  <c r="W30" i="10"/>
  <c r="T30" i="10"/>
  <c r="H31" i="10"/>
  <c r="G32" i="10"/>
  <c r="E32" i="10"/>
  <c r="AM32" i="10"/>
  <c r="C32" i="10"/>
  <c r="B33" i="10"/>
  <c r="V32" i="10"/>
  <c r="H30" i="10"/>
  <c r="AA30" i="10"/>
  <c r="K30" i="10"/>
  <c r="Y30" i="10"/>
  <c r="P30" i="10"/>
  <c r="J31" i="10"/>
  <c r="AT31" i="10"/>
  <c r="F31" i="10"/>
  <c r="M31" i="10" s="1"/>
  <c r="S31" i="10"/>
  <c r="P31" i="10"/>
  <c r="AC27" i="8"/>
  <c r="K27" i="8"/>
  <c r="AE27" i="8"/>
  <c r="P27" i="8"/>
  <c r="Q32" i="8" s="1"/>
  <c r="AA27" i="8"/>
  <c r="T27" i="8"/>
  <c r="E29" i="8"/>
  <c r="G29" i="8"/>
  <c r="AQ29" i="8"/>
  <c r="C29" i="8"/>
  <c r="B30" i="8"/>
  <c r="Z29" i="8"/>
  <c r="AX28" i="8"/>
  <c r="F28" i="8"/>
  <c r="M28" i="8" s="1"/>
  <c r="J28" i="8"/>
  <c r="AU27" i="8"/>
  <c r="AD27" i="8"/>
  <c r="AF27" i="8" s="1"/>
  <c r="W27" i="8"/>
  <c r="N27" i="8"/>
  <c r="X26" i="8"/>
  <c r="Q33" i="8"/>
  <c r="P28" i="8"/>
  <c r="S28" i="8"/>
  <c r="G33" i="10" l="1"/>
  <c r="E33" i="10"/>
  <c r="AM33" i="10"/>
  <c r="C33" i="10"/>
  <c r="V33" i="10"/>
  <c r="AA31" i="10"/>
  <c r="K31" i="10"/>
  <c r="Y31" i="10"/>
  <c r="S32" i="10"/>
  <c r="H32" i="10"/>
  <c r="T31" i="10"/>
  <c r="W31" i="10"/>
  <c r="Z31" i="10"/>
  <c r="AB31" i="10" s="1"/>
  <c r="AQ31" i="10"/>
  <c r="N31" i="10"/>
  <c r="AT32" i="10"/>
  <c r="F32" i="10"/>
  <c r="M32" i="10" s="1"/>
  <c r="J32" i="10"/>
  <c r="W28" i="8"/>
  <c r="AU28" i="8"/>
  <c r="AD28" i="8"/>
  <c r="AF28" i="8" s="1"/>
  <c r="N28" i="8"/>
  <c r="AX29" i="8"/>
  <c r="F29" i="8"/>
  <c r="M29" i="8" s="1"/>
  <c r="J29" i="8"/>
  <c r="S29" i="8"/>
  <c r="AA28" i="8"/>
  <c r="T28" i="8"/>
  <c r="H28" i="8"/>
  <c r="AC28" i="8"/>
  <c r="K28" i="8"/>
  <c r="V28" i="8"/>
  <c r="AE28" i="8"/>
  <c r="E30" i="8"/>
  <c r="B31" i="8"/>
  <c r="G30" i="8"/>
  <c r="AQ30" i="8"/>
  <c r="C30" i="8"/>
  <c r="Z30" i="8"/>
  <c r="V27" i="8"/>
  <c r="X27" i="8" s="1"/>
  <c r="Y32" i="10" l="1"/>
  <c r="K32" i="10"/>
  <c r="AA32" i="10"/>
  <c r="AQ32" i="10"/>
  <c r="Z32" i="10"/>
  <c r="AB32" i="10" s="1"/>
  <c r="N32" i="10"/>
  <c r="P32" i="10"/>
  <c r="F33" i="10"/>
  <c r="M33" i="10" s="1"/>
  <c r="AT33" i="10"/>
  <c r="J33" i="10"/>
  <c r="T32" i="10"/>
  <c r="W32" i="10"/>
  <c r="H33" i="10"/>
  <c r="S33" i="10"/>
  <c r="P33" i="10"/>
  <c r="AC29" i="8"/>
  <c r="K29" i="8"/>
  <c r="AE29" i="8"/>
  <c r="AX30" i="8"/>
  <c r="F30" i="8"/>
  <c r="M30" i="8" s="1"/>
  <c r="J30" i="8"/>
  <c r="E31" i="8"/>
  <c r="B32" i="8"/>
  <c r="C31" i="8"/>
  <c r="G31" i="8"/>
  <c r="AQ31" i="8"/>
  <c r="Z31" i="8"/>
  <c r="W29" i="8"/>
  <c r="AU29" i="8"/>
  <c r="AD29" i="8"/>
  <c r="AF29" i="8" s="1"/>
  <c r="N29" i="8"/>
  <c r="H29" i="8"/>
  <c r="AA29" i="8"/>
  <c r="T29" i="8"/>
  <c r="X28" i="8"/>
  <c r="P30" i="8"/>
  <c r="S30" i="8"/>
  <c r="H30" i="8"/>
  <c r="P29" i="8"/>
  <c r="V29" i="8" s="1"/>
  <c r="AQ33" i="10" l="1"/>
  <c r="Z33" i="10"/>
  <c r="AB33" i="10" s="1"/>
  <c r="N33" i="10"/>
  <c r="W33" i="10"/>
  <c r="T33" i="10"/>
  <c r="K33" i="10"/>
  <c r="AA33" i="10"/>
  <c r="Y33" i="10"/>
  <c r="AX31" i="8"/>
  <c r="F31" i="8"/>
  <c r="M31" i="8" s="1"/>
  <c r="J31" i="8"/>
  <c r="AC30" i="8"/>
  <c r="K30" i="8"/>
  <c r="V30" i="8"/>
  <c r="AE30" i="8"/>
  <c r="AA30" i="8"/>
  <c r="T30" i="8"/>
  <c r="H31" i="8"/>
  <c r="P31" i="8"/>
  <c r="S31" i="8"/>
  <c r="W30" i="8"/>
  <c r="AU30" i="8"/>
  <c r="AD30" i="8"/>
  <c r="AF30" i="8" s="1"/>
  <c r="N30" i="8"/>
  <c r="X29" i="8"/>
  <c r="E32" i="8"/>
  <c r="AQ32" i="8"/>
  <c r="C32" i="8"/>
  <c r="B33" i="8"/>
  <c r="G32" i="8"/>
  <c r="Z32" i="8"/>
  <c r="AC31" i="8" l="1"/>
  <c r="K31" i="8"/>
  <c r="V31" i="8"/>
  <c r="AE31" i="8"/>
  <c r="AX32" i="8"/>
  <c r="F32" i="8"/>
  <c r="M32" i="8" s="1"/>
  <c r="J32" i="8"/>
  <c r="W31" i="8"/>
  <c r="X31" i="8" s="1"/>
  <c r="AU31" i="8"/>
  <c r="AD31" i="8"/>
  <c r="AF31" i="8" s="1"/>
  <c r="N31" i="8"/>
  <c r="AA31" i="8"/>
  <c r="T31" i="8"/>
  <c r="H32" i="8"/>
  <c r="E33" i="8"/>
  <c r="G33" i="8"/>
  <c r="AQ33" i="8"/>
  <c r="C33" i="8"/>
  <c r="Z33" i="8"/>
  <c r="S32" i="8"/>
  <c r="X30" i="8"/>
  <c r="AX33" i="8" l="1"/>
  <c r="F33" i="8"/>
  <c r="M33" i="8" s="1"/>
  <c r="J33" i="8"/>
  <c r="AC32" i="8"/>
  <c r="K32" i="8"/>
  <c r="AE32" i="8"/>
  <c r="AA32" i="8"/>
  <c r="T32" i="8"/>
  <c r="W32" i="8"/>
  <c r="AU32" i="8"/>
  <c r="AD32" i="8"/>
  <c r="AF32" i="8" s="1"/>
  <c r="N32" i="8"/>
  <c r="S33" i="8"/>
  <c r="P32" i="8"/>
  <c r="V32" i="8" s="1"/>
  <c r="X32" i="8" l="1"/>
  <c r="W33" i="8"/>
  <c r="AU33" i="8"/>
  <c r="AD33" i="8"/>
  <c r="AF33" i="8" s="1"/>
  <c r="N33" i="8"/>
  <c r="AA33" i="8"/>
  <c r="T33" i="8"/>
  <c r="AC33" i="8"/>
  <c r="K33" i="8"/>
  <c r="AE33" i="8"/>
  <c r="P33" i="8"/>
  <c r="V33" i="8" s="1"/>
  <c r="H33" i="8"/>
  <c r="X33" i="8" l="1"/>
  <c r="Q7" i="2" l="1"/>
  <c r="G37" i="4"/>
  <c r="E37" i="4"/>
  <c r="J37" i="4" s="1"/>
  <c r="K37" i="4" s="1"/>
  <c r="G36" i="4"/>
  <c r="E36" i="4"/>
  <c r="F36" i="4" s="1"/>
  <c r="H36" i="4" s="1"/>
  <c r="G35" i="4"/>
  <c r="E35" i="4"/>
  <c r="J35" i="4" s="1"/>
  <c r="K35" i="4" s="1"/>
  <c r="G34" i="4"/>
  <c r="E34" i="4"/>
  <c r="F34" i="4" s="1"/>
  <c r="AR33" i="4"/>
  <c r="AP33" i="4"/>
  <c r="AR32" i="4"/>
  <c r="AP32" i="4"/>
  <c r="AR31" i="4"/>
  <c r="AP31" i="4"/>
  <c r="AR30" i="4"/>
  <c r="AP30" i="4"/>
  <c r="AR29" i="4"/>
  <c r="AP29" i="4"/>
  <c r="AR28" i="4"/>
  <c r="AP28" i="4"/>
  <c r="AR27" i="4"/>
  <c r="AP27" i="4"/>
  <c r="AR26" i="4"/>
  <c r="AP26" i="4"/>
  <c r="AR25" i="4"/>
  <c r="AP25" i="4"/>
  <c r="AR23" i="4"/>
  <c r="AP23" i="4"/>
  <c r="AR22" i="4"/>
  <c r="AP22" i="4"/>
  <c r="Q22" i="4"/>
  <c r="AR21" i="4"/>
  <c r="AP21" i="4"/>
  <c r="AR20" i="4"/>
  <c r="AP20" i="4"/>
  <c r="AR19" i="4"/>
  <c r="AP19" i="4"/>
  <c r="BA18" i="4"/>
  <c r="AR18" i="4"/>
  <c r="AP18" i="4"/>
  <c r="AP16" i="4"/>
  <c r="AP15" i="4"/>
  <c r="AP14" i="4"/>
  <c r="AP13" i="4"/>
  <c r="BA13" i="4" s="1"/>
  <c r="AP12" i="4"/>
  <c r="BA12" i="4" s="1"/>
  <c r="B12" i="4"/>
  <c r="BA11" i="4"/>
  <c r="AZ11" i="4"/>
  <c r="AR11" i="4"/>
  <c r="AQ11" i="4"/>
  <c r="E11" i="4"/>
  <c r="J11" i="4" s="1"/>
  <c r="E10" i="4"/>
  <c r="J10" i="4" s="1"/>
  <c r="C10" i="4"/>
  <c r="P10" i="4" s="1"/>
  <c r="Q10" i="4" s="1"/>
  <c r="Z10" i="4" s="1"/>
  <c r="E9" i="4"/>
  <c r="C9" i="4"/>
  <c r="P9" i="4" s="1"/>
  <c r="Q9" i="4" s="1"/>
  <c r="Z9" i="4" s="1"/>
  <c r="N29" i="2"/>
  <c r="G29" i="2" s="1"/>
  <c r="I29" i="2"/>
  <c r="F29" i="2" s="1"/>
  <c r="O20" i="2"/>
  <c r="J20" i="2"/>
  <c r="J22" i="2" s="1"/>
  <c r="E5" i="2"/>
  <c r="L20" i="2" s="1"/>
  <c r="D5" i="2"/>
  <c r="E4" i="2"/>
  <c r="Q20" i="2" s="1"/>
  <c r="D4" i="2"/>
  <c r="J17" i="1"/>
  <c r="N25" i="1"/>
  <c r="G25" i="1" s="1"/>
  <c r="I25" i="1"/>
  <c r="F25" i="1" s="1"/>
  <c r="O17" i="1"/>
  <c r="O11" i="1"/>
  <c r="J11" i="1"/>
  <c r="E5" i="1"/>
  <c r="L17" i="1" s="1"/>
  <c r="D5" i="1"/>
  <c r="O12" i="1" s="1"/>
  <c r="E4" i="1"/>
  <c r="Q11" i="1" s="1"/>
  <c r="D4" i="1"/>
  <c r="AZ12" i="4" l="1"/>
  <c r="V10" i="4"/>
  <c r="H34" i="4"/>
  <c r="E20" i="2"/>
  <c r="G12" i="2"/>
  <c r="G13" i="2" s="1"/>
  <c r="F12" i="2"/>
  <c r="F13" i="2" s="1"/>
  <c r="E13" i="2" s="1"/>
  <c r="R7" i="2"/>
  <c r="P7" i="2"/>
  <c r="L12" i="2"/>
  <c r="L7" i="2"/>
  <c r="I20" i="2"/>
  <c r="N20" i="2"/>
  <c r="F20" i="2"/>
  <c r="F22" i="2" s="1"/>
  <c r="F10" i="4"/>
  <c r="M10" i="4" s="1"/>
  <c r="F37" i="4"/>
  <c r="H37" i="4" s="1"/>
  <c r="G10" i="4"/>
  <c r="H10" i="4" s="1"/>
  <c r="F35" i="4"/>
  <c r="H35" i="4" s="1"/>
  <c r="G9" i="4"/>
  <c r="S9" i="4" s="1"/>
  <c r="T9" i="4" s="1"/>
  <c r="AA9" i="4" s="1"/>
  <c r="F9" i="4"/>
  <c r="M9" i="4" s="1"/>
  <c r="J9" i="4"/>
  <c r="G11" i="4"/>
  <c r="F11" i="4"/>
  <c r="K10" i="4"/>
  <c r="B13" i="4"/>
  <c r="E12" i="4"/>
  <c r="AC11" i="4"/>
  <c r="K11" i="4"/>
  <c r="AQ12" i="4"/>
  <c r="AZ13" i="4"/>
  <c r="BA14" i="4"/>
  <c r="AZ14" i="4" s="1"/>
  <c r="BA15" i="4"/>
  <c r="J34" i="4"/>
  <c r="AC35" i="4"/>
  <c r="AC37" i="4"/>
  <c r="J36" i="4"/>
  <c r="G20" i="2"/>
  <c r="G22" i="2" s="1"/>
  <c r="Q12" i="2"/>
  <c r="N11" i="1"/>
  <c r="N17" i="1"/>
  <c r="F17" i="1"/>
  <c r="I17" i="1"/>
  <c r="L11" i="1"/>
  <c r="Q17" i="1"/>
  <c r="D17" i="1" s="1"/>
  <c r="J12" i="1"/>
  <c r="D20" i="2" l="1"/>
  <c r="I22" i="2" s="1"/>
  <c r="D13" i="2"/>
  <c r="E22" i="2"/>
  <c r="J12" i="2"/>
  <c r="O12" i="2"/>
  <c r="W10" i="2" s="1"/>
  <c r="Q8" i="2"/>
  <c r="S10" i="4"/>
  <c r="T10" i="4" s="1"/>
  <c r="AA10" i="4" s="1"/>
  <c r="AC9" i="4"/>
  <c r="K9" i="4"/>
  <c r="V9" i="4"/>
  <c r="AE9" i="4"/>
  <c r="AC36" i="4"/>
  <c r="K36" i="4"/>
  <c r="H9" i="4"/>
  <c r="AC34" i="4"/>
  <c r="K34" i="4"/>
  <c r="F12" i="4"/>
  <c r="J12" i="4"/>
  <c r="AX12" i="4"/>
  <c r="G12" i="4"/>
  <c r="AD9" i="4"/>
  <c r="AF9" i="4" s="1"/>
  <c r="W9" i="4"/>
  <c r="B14" i="4"/>
  <c r="E13" i="4"/>
  <c r="H11" i="4"/>
  <c r="AQ13" i="4"/>
  <c r="F11" i="1"/>
  <c r="G17" i="1"/>
  <c r="E17" i="1"/>
  <c r="D18" i="1" s="1"/>
  <c r="G11" i="1"/>
  <c r="I11" i="1"/>
  <c r="W10" i="4" l="1"/>
  <c r="X10" i="4" s="1"/>
  <c r="N22" i="2"/>
  <c r="E11" i="1"/>
  <c r="D11" i="1" s="1"/>
  <c r="D12" i="1" s="1"/>
  <c r="I12" i="2"/>
  <c r="N12" i="2"/>
  <c r="O14" i="2"/>
  <c r="J14" i="2"/>
  <c r="D21" i="2"/>
  <c r="H12" i="4"/>
  <c r="X9" i="4"/>
  <c r="E14" i="4"/>
  <c r="B15" i="4"/>
  <c r="AQ14" i="4"/>
  <c r="AC12" i="4"/>
  <c r="K12" i="4"/>
  <c r="AX13" i="4"/>
  <c r="G13" i="4"/>
  <c r="F13" i="4"/>
  <c r="J13" i="4"/>
  <c r="A17" i="1"/>
  <c r="N14" i="2" l="1"/>
  <c r="E12" i="2"/>
  <c r="D12" i="2" s="1"/>
  <c r="AC13" i="4"/>
  <c r="K13" i="4"/>
  <c r="H13" i="4"/>
  <c r="AX14" i="4"/>
  <c r="G14" i="4"/>
  <c r="J14" i="4"/>
  <c r="F14" i="4"/>
  <c r="B16" i="4"/>
  <c r="C15" i="4" s="1"/>
  <c r="E15" i="4"/>
  <c r="AQ15" i="4"/>
  <c r="F15" i="2" l="1"/>
  <c r="G15" i="2"/>
  <c r="J15" i="4"/>
  <c r="AX15" i="4"/>
  <c r="G15" i="4"/>
  <c r="F15" i="4"/>
  <c r="M15" i="4" s="1"/>
  <c r="AC14" i="4"/>
  <c r="K14" i="4"/>
  <c r="P15" i="4"/>
  <c r="Q15" i="4" s="1"/>
  <c r="Z15" i="4" s="1"/>
  <c r="C37" i="4"/>
  <c r="C35" i="4"/>
  <c r="C36" i="4"/>
  <c r="C34" i="4"/>
  <c r="N10" i="4"/>
  <c r="E16" i="4"/>
  <c r="N9" i="4"/>
  <c r="B18" i="4"/>
  <c r="C16" i="4"/>
  <c r="B17" i="4"/>
  <c r="C11" i="4"/>
  <c r="C12" i="4"/>
  <c r="C13" i="4"/>
  <c r="C14" i="4"/>
  <c r="M14" i="4" s="1"/>
  <c r="H14" i="4"/>
  <c r="Q20" i="4" l="1"/>
  <c r="E15" i="2"/>
  <c r="H15" i="4"/>
  <c r="S15" i="4"/>
  <c r="T15" i="4" s="1"/>
  <c r="AD14" i="4"/>
  <c r="AF14" i="4" s="1"/>
  <c r="AU14" i="4"/>
  <c r="N14" i="4"/>
  <c r="AE14" i="4"/>
  <c r="S34" i="4"/>
  <c r="P34" i="4"/>
  <c r="M34" i="4"/>
  <c r="P35" i="4"/>
  <c r="S35" i="4"/>
  <c r="M35" i="4"/>
  <c r="AT15" i="4"/>
  <c r="AR15" i="4" s="1"/>
  <c r="W15" i="4"/>
  <c r="AD15" i="4"/>
  <c r="AF15" i="4" s="1"/>
  <c r="AU15" i="4"/>
  <c r="N15" i="4"/>
  <c r="V15" i="4"/>
  <c r="AE15" i="4"/>
  <c r="K15" i="4"/>
  <c r="AC15" i="4"/>
  <c r="E17" i="4"/>
  <c r="C17" i="4"/>
  <c r="S36" i="4"/>
  <c r="P36" i="4"/>
  <c r="M36" i="4"/>
  <c r="AA15" i="4"/>
  <c r="P37" i="4"/>
  <c r="S37" i="4"/>
  <c r="M37" i="4"/>
  <c r="S14" i="4"/>
  <c r="W14" i="4" s="1"/>
  <c r="P14" i="4"/>
  <c r="P12" i="4"/>
  <c r="S12" i="4"/>
  <c r="T12" i="4" s="1"/>
  <c r="AA12" i="4" s="1"/>
  <c r="M12" i="4"/>
  <c r="G16" i="4"/>
  <c r="F16" i="4"/>
  <c r="M16" i="4" s="1"/>
  <c r="J16" i="4"/>
  <c r="S13" i="4"/>
  <c r="T13" i="4" s="1"/>
  <c r="AA13" i="4" s="1"/>
  <c r="P13" i="4"/>
  <c r="Q18" i="4" s="1"/>
  <c r="Z18" i="4" s="1"/>
  <c r="M13" i="4"/>
  <c r="S11" i="4"/>
  <c r="T11" i="4" s="1"/>
  <c r="AA11" i="4" s="1"/>
  <c r="P11" i="4"/>
  <c r="Q16" i="4" s="1"/>
  <c r="Z16" i="4" s="1"/>
  <c r="M11" i="4"/>
  <c r="B19" i="4"/>
  <c r="C18" i="4"/>
  <c r="AQ18" i="4"/>
  <c r="E18" i="4"/>
  <c r="H16" i="4" l="1"/>
  <c r="Q12" i="4"/>
  <c r="Z12" i="4" s="1"/>
  <c r="V12" i="4"/>
  <c r="AX18" i="4"/>
  <c r="G18" i="4"/>
  <c r="F18" i="4"/>
  <c r="M18" i="4"/>
  <c r="J18" i="4"/>
  <c r="P18" i="4" s="1"/>
  <c r="Q23" i="4" s="1"/>
  <c r="B20" i="4"/>
  <c r="E19" i="4"/>
  <c r="C19" i="4"/>
  <c r="AQ19" i="4"/>
  <c r="S16" i="4"/>
  <c r="AU12" i="4"/>
  <c r="W12" i="4"/>
  <c r="X12" i="4" s="1"/>
  <c r="AT12" i="4"/>
  <c r="AR12" i="4" s="1"/>
  <c r="AD12" i="4"/>
  <c r="AF12" i="4" s="1"/>
  <c r="AE12" i="4"/>
  <c r="N12" i="4"/>
  <c r="Q14" i="4"/>
  <c r="Z14" i="4" s="1"/>
  <c r="V14" i="4"/>
  <c r="X14" i="4" s="1"/>
  <c r="AD37" i="4"/>
  <c r="AF37" i="4" s="1"/>
  <c r="W37" i="4"/>
  <c r="AE37" i="4"/>
  <c r="N37" i="4"/>
  <c r="W35" i="4"/>
  <c r="AD35" i="4"/>
  <c r="AF35" i="4" s="1"/>
  <c r="AE35" i="4"/>
  <c r="N35" i="4"/>
  <c r="Q34" i="4"/>
  <c r="Z34" i="4" s="1"/>
  <c r="V34" i="4"/>
  <c r="AD13" i="4"/>
  <c r="AF13" i="4" s="1"/>
  <c r="AU13" i="4"/>
  <c r="W13" i="4"/>
  <c r="AT13" i="4"/>
  <c r="AR13" i="4" s="1"/>
  <c r="AE13" i="4"/>
  <c r="N13" i="4"/>
  <c r="T14" i="4"/>
  <c r="AA14" i="4"/>
  <c r="AA37" i="4"/>
  <c r="T37" i="4"/>
  <c r="AD36" i="4"/>
  <c r="AF36" i="4" s="1"/>
  <c r="W36" i="4"/>
  <c r="AE36" i="4"/>
  <c r="N36" i="4"/>
  <c r="AA35" i="4"/>
  <c r="T35" i="4"/>
  <c r="AA34" i="4"/>
  <c r="T34" i="4"/>
  <c r="AT14" i="4"/>
  <c r="AR14" i="4" s="1"/>
  <c r="AD11" i="4"/>
  <c r="AF11" i="4" s="1"/>
  <c r="W11" i="4"/>
  <c r="AW11" i="4"/>
  <c r="AU11" i="4"/>
  <c r="AE11" i="4"/>
  <c r="N11" i="4"/>
  <c r="AC16" i="4"/>
  <c r="K16" i="4"/>
  <c r="AE16" i="4"/>
  <c r="S18" i="4"/>
  <c r="Q11" i="4"/>
  <c r="Z11" i="4" s="1"/>
  <c r="V11" i="4"/>
  <c r="Q13" i="4"/>
  <c r="Z13" i="4" s="1"/>
  <c r="V13" i="4"/>
  <c r="W16" i="4"/>
  <c r="AD16" i="4"/>
  <c r="AF16" i="4" s="1"/>
  <c r="N16" i="4"/>
  <c r="O16" i="4" s="1"/>
  <c r="P16" i="4"/>
  <c r="Q21" i="4" s="1"/>
  <c r="Q17" i="4"/>
  <c r="Z17" i="4" s="1"/>
  <c r="Q19" i="4"/>
  <c r="Z19" i="4" s="1"/>
  <c r="Q37" i="4"/>
  <c r="Z37" i="4" s="1"/>
  <c r="V37" i="4"/>
  <c r="Q36" i="4"/>
  <c r="Z36" i="4" s="1"/>
  <c r="V36" i="4"/>
  <c r="F17" i="4"/>
  <c r="M17" i="4" s="1"/>
  <c r="J17" i="4"/>
  <c r="P17" i="4" s="1"/>
  <c r="G17" i="4"/>
  <c r="X15" i="4"/>
  <c r="Q35" i="4"/>
  <c r="Z35" i="4" s="1"/>
  <c r="V35" i="4"/>
  <c r="AA36" i="4"/>
  <c r="T36" i="4"/>
  <c r="AD34" i="4"/>
  <c r="AF34" i="4" s="1"/>
  <c r="W34" i="4"/>
  <c r="X34" i="4" s="1"/>
  <c r="AE34" i="4"/>
  <c r="N34" i="4"/>
  <c r="X11" i="4" l="1"/>
  <c r="H17" i="4"/>
  <c r="X37" i="4"/>
  <c r="AE18" i="4"/>
  <c r="AC18" i="4"/>
  <c r="K18" i="4"/>
  <c r="V18" i="4"/>
  <c r="X36" i="4"/>
  <c r="W18" i="4"/>
  <c r="AD18" i="4"/>
  <c r="AF18" i="4" s="1"/>
  <c r="AU18" i="4"/>
  <c r="N18" i="4"/>
  <c r="V17" i="4"/>
  <c r="K17" i="4"/>
  <c r="N17" i="4"/>
  <c r="O17" i="4" s="1"/>
  <c r="T18" i="4"/>
  <c r="AA18" i="4"/>
  <c r="V16" i="4"/>
  <c r="X16" i="4" s="1"/>
  <c r="X13" i="4"/>
  <c r="X35" i="4"/>
  <c r="AA16" i="4"/>
  <c r="T16" i="4"/>
  <c r="M19" i="4"/>
  <c r="G19" i="4"/>
  <c r="H19" i="4" s="1"/>
  <c r="J19" i="4"/>
  <c r="P19" i="4" s="1"/>
  <c r="Q24" i="4" s="1"/>
  <c r="AX19" i="4"/>
  <c r="F19" i="4"/>
  <c r="Z21" i="4"/>
  <c r="S17" i="4"/>
  <c r="W17" i="4" s="1"/>
  <c r="X17" i="4" s="1"/>
  <c r="B21" i="4"/>
  <c r="E20" i="4"/>
  <c r="C20" i="4"/>
  <c r="AQ20" i="4"/>
  <c r="Z20" i="4"/>
  <c r="H18" i="4"/>
  <c r="X18" i="4" l="1"/>
  <c r="S19" i="4"/>
  <c r="W19" i="4" s="1"/>
  <c r="G20" i="4"/>
  <c r="J20" i="4"/>
  <c r="AX20" i="4"/>
  <c r="F20" i="4"/>
  <c r="M20" i="4" s="1"/>
  <c r="B22" i="4"/>
  <c r="E21" i="4"/>
  <c r="C21" i="4"/>
  <c r="AQ21" i="4"/>
  <c r="AD19" i="4"/>
  <c r="AF19" i="4" s="1"/>
  <c r="AU19" i="4"/>
  <c r="N19" i="4"/>
  <c r="S20" i="4"/>
  <c r="P20" i="4"/>
  <c r="Q25" i="4" s="1"/>
  <c r="AA17" i="4"/>
  <c r="T17" i="4"/>
  <c r="V19" i="4"/>
  <c r="AC19" i="4"/>
  <c r="K19" i="4"/>
  <c r="AE19" i="4"/>
  <c r="H20" i="4" l="1"/>
  <c r="AA20" i="4"/>
  <c r="T20" i="4"/>
  <c r="G21" i="4"/>
  <c r="S21" i="4" s="1"/>
  <c r="J21" i="4"/>
  <c r="P21" i="4" s="1"/>
  <c r="Q26" i="4" s="1"/>
  <c r="AX21" i="4"/>
  <c r="F21" i="4"/>
  <c r="M21" i="4" s="1"/>
  <c r="V20" i="4"/>
  <c r="K20" i="4"/>
  <c r="AE20" i="4"/>
  <c r="AC20" i="4"/>
  <c r="B23" i="4"/>
  <c r="E22" i="4"/>
  <c r="Z22" i="4"/>
  <c r="C22" i="4"/>
  <c r="AQ22" i="4"/>
  <c r="X19" i="4"/>
  <c r="AD20" i="4"/>
  <c r="AF20" i="4" s="1"/>
  <c r="AU20" i="4"/>
  <c r="W20" i="4"/>
  <c r="N20" i="4"/>
  <c r="AA19" i="4"/>
  <c r="T19" i="4"/>
  <c r="X20" i="4" l="1"/>
  <c r="AA21" i="4"/>
  <c r="T21" i="4"/>
  <c r="B24" i="4"/>
  <c r="E23" i="4"/>
  <c r="C23" i="4"/>
  <c r="AQ23" i="4"/>
  <c r="Z23" i="4"/>
  <c r="H21" i="4"/>
  <c r="AD21" i="4"/>
  <c r="AF21" i="4" s="1"/>
  <c r="AU21" i="4"/>
  <c r="W21" i="4"/>
  <c r="N21" i="4"/>
  <c r="G22" i="4"/>
  <c r="S22" i="4" s="1"/>
  <c r="AX22" i="4"/>
  <c r="J22" i="4"/>
  <c r="F22" i="4"/>
  <c r="M22" i="4" s="1"/>
  <c r="V21" i="4"/>
  <c r="AC21" i="4"/>
  <c r="K21" i="4"/>
  <c r="AE21" i="4"/>
  <c r="X21" i="4" l="1"/>
  <c r="AC22" i="4"/>
  <c r="K22" i="4"/>
  <c r="AE22" i="4"/>
  <c r="AA22" i="4"/>
  <c r="T22" i="4"/>
  <c r="G23" i="4"/>
  <c r="AX23" i="4"/>
  <c r="F23" i="4"/>
  <c r="M23" i="4" s="1"/>
  <c r="J23" i="4"/>
  <c r="P23" i="4" s="1"/>
  <c r="Q28" i="4" s="1"/>
  <c r="H22" i="4"/>
  <c r="B25" i="4"/>
  <c r="E24" i="4"/>
  <c r="C24" i="4"/>
  <c r="Z24" i="4"/>
  <c r="AD22" i="4"/>
  <c r="AF22" i="4" s="1"/>
  <c r="W22" i="4"/>
  <c r="AU22" i="4"/>
  <c r="N22" i="4"/>
  <c r="P22" i="4"/>
  <c r="Q27" i="4" s="1"/>
  <c r="G24" i="4" l="1"/>
  <c r="S24" i="4" s="1"/>
  <c r="F24" i="4"/>
  <c r="M24" i="4" s="1"/>
  <c r="J24" i="4"/>
  <c r="P24" i="4" s="1"/>
  <c r="Q29" i="4" s="1"/>
  <c r="AD23" i="4"/>
  <c r="AF23" i="4" s="1"/>
  <c r="AU23" i="4"/>
  <c r="N23" i="4"/>
  <c r="E25" i="4"/>
  <c r="B26" i="4"/>
  <c r="C25" i="4"/>
  <c r="G25" i="4"/>
  <c r="AQ25" i="4"/>
  <c r="Z25" i="4"/>
  <c r="H23" i="4"/>
  <c r="S23" i="4"/>
  <c r="W23" i="4" s="1"/>
  <c r="V22" i="4"/>
  <c r="X22" i="4" s="1"/>
  <c r="AC23" i="4"/>
  <c r="K23" i="4"/>
  <c r="V23" i="4"/>
  <c r="AE23" i="4"/>
  <c r="H24" i="4" l="1"/>
  <c r="S25" i="4"/>
  <c r="AD24" i="4"/>
  <c r="AF24" i="4" s="1"/>
  <c r="W24" i="4"/>
  <c r="N24" i="4"/>
  <c r="E26" i="4"/>
  <c r="AQ26" i="4"/>
  <c r="G26" i="4"/>
  <c r="B27" i="4"/>
  <c r="C26" i="4"/>
  <c r="Z26" i="4"/>
  <c r="X23" i="4"/>
  <c r="AA24" i="4"/>
  <c r="T24" i="4"/>
  <c r="AA23" i="4"/>
  <c r="T23" i="4"/>
  <c r="J25" i="4"/>
  <c r="P25" i="4" s="1"/>
  <c r="Q30" i="4" s="1"/>
  <c r="AX25" i="4"/>
  <c r="F25" i="4"/>
  <c r="M25" i="4" s="1"/>
  <c r="AC24" i="4"/>
  <c r="K24" i="4"/>
  <c r="V24" i="4"/>
  <c r="AE24" i="4"/>
  <c r="H25" i="4" l="1"/>
  <c r="E27" i="4"/>
  <c r="B28" i="4"/>
  <c r="G27" i="4"/>
  <c r="AQ27" i="4"/>
  <c r="C27" i="4"/>
  <c r="Z27" i="4"/>
  <c r="AU25" i="4"/>
  <c r="AD25" i="4"/>
  <c r="AF25" i="4" s="1"/>
  <c r="W25" i="4"/>
  <c r="N25" i="4"/>
  <c r="AA25" i="4"/>
  <c r="T25" i="4"/>
  <c r="X24" i="4"/>
  <c r="AX26" i="4"/>
  <c r="J26" i="4"/>
  <c r="F26" i="4"/>
  <c r="M26" i="4" s="1"/>
  <c r="V25" i="4"/>
  <c r="K25" i="4"/>
  <c r="AE25" i="4"/>
  <c r="AC25" i="4"/>
  <c r="S26" i="4"/>
  <c r="W26" i="4" l="1"/>
  <c r="AU26" i="4"/>
  <c r="AD26" i="4"/>
  <c r="AF26" i="4" s="1"/>
  <c r="N26" i="4"/>
  <c r="X25" i="4"/>
  <c r="S27" i="4"/>
  <c r="E28" i="4"/>
  <c r="B29" i="4"/>
  <c r="G28" i="4"/>
  <c r="AQ28" i="4"/>
  <c r="C28" i="4"/>
  <c r="Z28" i="4"/>
  <c r="AA26" i="4"/>
  <c r="T26" i="4"/>
  <c r="AC26" i="4"/>
  <c r="AE26" i="4"/>
  <c r="K26" i="4"/>
  <c r="AX27" i="4"/>
  <c r="F27" i="4"/>
  <c r="M27" i="4" s="1"/>
  <c r="J27" i="4"/>
  <c r="P27" i="4" s="1"/>
  <c r="Q32" i="4" s="1"/>
  <c r="P26" i="4"/>
  <c r="Q31" i="4" s="1"/>
  <c r="H26" i="4"/>
  <c r="V26" i="4" l="1"/>
  <c r="X26" i="4" s="1"/>
  <c r="W27" i="4"/>
  <c r="AU27" i="4"/>
  <c r="AD27" i="4"/>
  <c r="AF27" i="4" s="1"/>
  <c r="N27" i="4"/>
  <c r="E29" i="4"/>
  <c r="AQ29" i="4"/>
  <c r="C29" i="4"/>
  <c r="B30" i="4"/>
  <c r="G29" i="4"/>
  <c r="Z29" i="4"/>
  <c r="AC27" i="4"/>
  <c r="K27" i="4"/>
  <c r="V27" i="4"/>
  <c r="AE27" i="4"/>
  <c r="AA27" i="4"/>
  <c r="T27" i="4"/>
  <c r="H27" i="4"/>
  <c r="S28" i="4"/>
  <c r="AX28" i="4"/>
  <c r="F28" i="4"/>
  <c r="M28" i="4" s="1"/>
  <c r="J28" i="4"/>
  <c r="X27" i="4" l="1"/>
  <c r="E30" i="4"/>
  <c r="G30" i="4"/>
  <c r="AQ30" i="4"/>
  <c r="C30" i="4"/>
  <c r="B31" i="4"/>
  <c r="Z30" i="4"/>
  <c r="AC28" i="4"/>
  <c r="K28" i="4"/>
  <c r="AE28" i="4"/>
  <c r="P28" i="4"/>
  <c r="Q33" i="4" s="1"/>
  <c r="S29" i="4"/>
  <c r="AA28" i="4"/>
  <c r="T28" i="4"/>
  <c r="W28" i="4"/>
  <c r="AU28" i="4"/>
  <c r="AD28" i="4"/>
  <c r="AF28" i="4" s="1"/>
  <c r="N28" i="4"/>
  <c r="H28" i="4"/>
  <c r="AX29" i="4"/>
  <c r="F29" i="4"/>
  <c r="M29" i="4" s="1"/>
  <c r="J29" i="4"/>
  <c r="AC29" i="4" l="1"/>
  <c r="K29" i="4"/>
  <c r="AE29" i="4"/>
  <c r="W29" i="4"/>
  <c r="AU29" i="4"/>
  <c r="AD29" i="4"/>
  <c r="AF29" i="4" s="1"/>
  <c r="N29" i="4"/>
  <c r="AA29" i="4"/>
  <c r="T29" i="4"/>
  <c r="V28" i="4"/>
  <c r="X28" i="4" s="1"/>
  <c r="E31" i="4"/>
  <c r="B32" i="4"/>
  <c r="G31" i="4"/>
  <c r="AQ31" i="4"/>
  <c r="C31" i="4"/>
  <c r="Z31" i="4"/>
  <c r="H29" i="4"/>
  <c r="P29" i="4"/>
  <c r="V29" i="4" s="1"/>
  <c r="S30" i="4"/>
  <c r="AX30" i="4"/>
  <c r="F30" i="4"/>
  <c r="M30" i="4" s="1"/>
  <c r="J30" i="4"/>
  <c r="W30" i="4" l="1"/>
  <c r="AU30" i="4"/>
  <c r="AD30" i="4"/>
  <c r="AF30" i="4" s="1"/>
  <c r="N30" i="4"/>
  <c r="H30" i="4"/>
  <c r="AC30" i="4"/>
  <c r="K30" i="4"/>
  <c r="AE30" i="4"/>
  <c r="AX31" i="4"/>
  <c r="F31" i="4"/>
  <c r="M31" i="4" s="1"/>
  <c r="J31" i="4"/>
  <c r="P30" i="4"/>
  <c r="V30" i="4" s="1"/>
  <c r="AA30" i="4"/>
  <c r="T30" i="4"/>
  <c r="S31" i="4"/>
  <c r="E32" i="4"/>
  <c r="B33" i="4"/>
  <c r="G32" i="4"/>
  <c r="AQ32" i="4"/>
  <c r="C32" i="4"/>
  <c r="Z32" i="4"/>
  <c r="X29" i="4"/>
  <c r="AC31" i="4" l="1"/>
  <c r="K31" i="4"/>
  <c r="AE31" i="4"/>
  <c r="AX32" i="4"/>
  <c r="F32" i="4"/>
  <c r="M32" i="4" s="1"/>
  <c r="J32" i="4"/>
  <c r="W31" i="4"/>
  <c r="AU31" i="4"/>
  <c r="AD31" i="4"/>
  <c r="AF31" i="4" s="1"/>
  <c r="N31" i="4"/>
  <c r="E33" i="4"/>
  <c r="AQ33" i="4"/>
  <c r="C33" i="4"/>
  <c r="G33" i="4"/>
  <c r="Z33" i="4"/>
  <c r="AA31" i="4"/>
  <c r="T31" i="4"/>
  <c r="P32" i="4"/>
  <c r="S32" i="4"/>
  <c r="P31" i="4"/>
  <c r="V31" i="4" s="1"/>
  <c r="H31" i="4"/>
  <c r="X30" i="4"/>
  <c r="H32" i="4" l="1"/>
  <c r="S33" i="4"/>
  <c r="AC32" i="4"/>
  <c r="K32" i="4"/>
  <c r="V32" i="4"/>
  <c r="AE32" i="4"/>
  <c r="X31" i="4"/>
  <c r="W32" i="4"/>
  <c r="AU32" i="4"/>
  <c r="AD32" i="4"/>
  <c r="AF32" i="4" s="1"/>
  <c r="N32" i="4"/>
  <c r="AX33" i="4"/>
  <c r="F33" i="4"/>
  <c r="M33" i="4" s="1"/>
  <c r="J33" i="4"/>
  <c r="AA32" i="4"/>
  <c r="T32" i="4"/>
  <c r="AC33" i="4" l="1"/>
  <c r="K33" i="4"/>
  <c r="AE33" i="4"/>
  <c r="AA33" i="4"/>
  <c r="T33" i="4"/>
  <c r="W33" i="4"/>
  <c r="AU33" i="4"/>
  <c r="AD33" i="4"/>
  <c r="AF33" i="4" s="1"/>
  <c r="N33" i="4"/>
  <c r="P33" i="4"/>
  <c r="V33" i="4" s="1"/>
  <c r="X32" i="4"/>
  <c r="H33" i="4"/>
  <c r="X33" i="4" l="1"/>
  <c r="A20" i="2" l="1"/>
  <c r="D14" i="2"/>
</calcChain>
</file>

<file path=xl/sharedStrings.xml><?xml version="1.0" encoding="utf-8"?>
<sst xmlns="http://schemas.openxmlformats.org/spreadsheetml/2006/main" count="495" uniqueCount="132">
  <si>
    <t xml:space="preserve">סימולטור לחישוב פנסיה לתקופת שרות משולבת: חוזה בכירים + כתב מינוי </t>
  </si>
  <si>
    <t>נתונים בסיסיים:</t>
  </si>
  <si>
    <t>שנים</t>
  </si>
  <si>
    <t xml:space="preserve">משכורת  </t>
  </si>
  <si>
    <t>חוזה</t>
  </si>
  <si>
    <t>כתב מינוי</t>
  </si>
  <si>
    <t>מלא את התאים "שנים" ו"משכורת"</t>
  </si>
  <si>
    <t>שנים בכ.מינוי</t>
  </si>
  <si>
    <t>שנים בחוזה:</t>
  </si>
  <si>
    <t xml:space="preserve">נוסחת הפנסיה </t>
  </si>
  <si>
    <t>משכורת</t>
  </si>
  <si>
    <t>משכורת:</t>
  </si>
  <si>
    <t>שקלול משכורות קובעות</t>
  </si>
  <si>
    <t>=</t>
  </si>
  <si>
    <t xml:space="preserve">% מכל </t>
  </si>
  <si>
    <t>תקופת כ.מנוי</t>
  </si>
  <si>
    <t>X</t>
  </si>
  <si>
    <t>+</t>
  </si>
  <si>
    <t>תקופת חוזה</t>
  </si>
  <si>
    <t xml:space="preserve">משכורת </t>
  </si>
  <si>
    <t xml:space="preserve"> </t>
  </si>
  <si>
    <t>כ. מינוי</t>
  </si>
  <si>
    <t>השרות</t>
  </si>
  <si>
    <t>ס"ה שרות</t>
  </si>
  <si>
    <t xml:space="preserve">חוזה </t>
  </si>
  <si>
    <t>נוסחת נש"מ:</t>
  </si>
  <si>
    <t>% פנסיה לכל שנה:</t>
  </si>
  <si>
    <t>תקופ.חוזה</t>
  </si>
  <si>
    <t>שנים לפנסיה</t>
  </si>
  <si>
    <t>ע"פ חוזה וחוק:</t>
  </si>
  <si>
    <t xml:space="preserve">פנסיה לפי </t>
  </si>
  <si>
    <t>משוקללת</t>
  </si>
  <si>
    <t>% מכלל</t>
  </si>
  <si>
    <t xml:space="preserve">(קובעת (ממוצע </t>
  </si>
  <si>
    <t xml:space="preserve">קובעת כ.מנוי </t>
  </si>
  <si>
    <t>קובעת חוזה</t>
  </si>
  <si>
    <t xml:space="preserve"> כ.מינוי</t>
  </si>
  <si>
    <t>משכורת ממוצעת</t>
  </si>
  <si>
    <t xml:space="preserve">                     שעורי פנסיה (%) ע"פ החוזה לתקופת חוזה + ולתקופת כתב מינוי</t>
  </si>
  <si>
    <t xml:space="preserve">               זכויות פנסיה ע"פ חוק/תקשי"ר:</t>
  </si>
  <si>
    <t xml:space="preserve">        ת ק ו פ ת   ה ח ו ז ה, שכר:</t>
  </si>
  <si>
    <t xml:space="preserve">      תקופת כ. מינוי</t>
  </si>
  <si>
    <t>:</t>
  </si>
  <si>
    <t>משכורת 46+:</t>
  </si>
  <si>
    <t xml:space="preserve">       ס"ה גימלה</t>
  </si>
  <si>
    <t>ס"ה חוזה+מינוי</t>
  </si>
  <si>
    <t xml:space="preserve">   תקופת השרות</t>
  </si>
  <si>
    <t xml:space="preserve">   תקופת החוזה</t>
  </si>
  <si>
    <t xml:space="preserve">%כ. מינוי </t>
  </si>
  <si>
    <r>
      <t xml:space="preserve">ע"פ </t>
    </r>
    <r>
      <rPr>
        <sz val="12"/>
        <color theme="1"/>
        <rFont val="Arial"/>
        <family val="2"/>
        <scheme val="minor"/>
      </rPr>
      <t>סעיף 12 לחוזה</t>
    </r>
  </si>
  <si>
    <t xml:space="preserve">     לפי נוסחת נש"מ</t>
  </si>
  <si>
    <t>לפי חוזה</t>
  </si>
  <si>
    <t>לפי נש"מ</t>
  </si>
  <si>
    <t>פערים</t>
  </si>
  <si>
    <t>תוצאת נוסחת נש"מ</t>
  </si>
  <si>
    <t>% פנסיה</t>
  </si>
  <si>
    <t xml:space="preserve"> שנים בחוזה</t>
  </si>
  <si>
    <t>אחוז שנות</t>
  </si>
  <si>
    <t xml:space="preserve">ס"ה שרות </t>
  </si>
  <si>
    <t xml:space="preserve">ס"ה פנסיה </t>
  </si>
  <si>
    <t xml:space="preserve">% פנסיה </t>
  </si>
  <si>
    <t>ס"ה אחוזי פנסיה</t>
  </si>
  <si>
    <t xml:space="preserve">פנסיה כ.מינוי </t>
  </si>
  <si>
    <t>אחוז פנסיה</t>
  </si>
  <si>
    <r>
      <t xml:space="preserve">הפרש </t>
    </r>
    <r>
      <rPr>
        <b/>
        <u/>
        <sz val="11"/>
        <color theme="1"/>
        <rFont val="Arial"/>
        <family val="2"/>
        <scheme val="minor"/>
      </rPr>
      <t>₪</t>
    </r>
  </si>
  <si>
    <r>
      <t xml:space="preserve">אחוז פנסית חוזה לשנה  </t>
    </r>
    <r>
      <rPr>
        <b/>
        <sz val="11"/>
        <color theme="1"/>
        <rFont val="Arial"/>
        <family val="2"/>
        <scheme val="minor"/>
      </rPr>
      <t xml:space="preserve"> </t>
    </r>
  </si>
  <si>
    <r>
      <rPr>
        <u/>
        <sz val="11"/>
        <color theme="1"/>
        <rFont val="Arial"/>
        <family val="2"/>
        <scheme val="minor"/>
      </rPr>
      <t>שעור</t>
    </r>
    <r>
      <rPr>
        <sz val="11"/>
        <color theme="1"/>
        <rFont val="Arial"/>
        <family val="2"/>
        <scheme val="minor"/>
      </rPr>
      <t xml:space="preserve"> הקטנת  </t>
    </r>
  </si>
  <si>
    <r>
      <rPr>
        <u/>
        <sz val="11"/>
        <color theme="1"/>
        <rFont val="Arial"/>
        <family val="2"/>
        <scheme val="minor"/>
      </rPr>
      <t>אחוז</t>
    </r>
    <r>
      <rPr>
        <sz val="10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הקטנת  </t>
    </r>
  </si>
  <si>
    <t>שנים כ.מינוי</t>
  </si>
  <si>
    <t xml:space="preserve">אחוז מס"ה </t>
  </si>
  <si>
    <t xml:space="preserve">התוספת </t>
  </si>
  <si>
    <t>ס"ה פנסיה</t>
  </si>
  <si>
    <t>פנסיה</t>
  </si>
  <si>
    <t>שכר חוזה</t>
  </si>
  <si>
    <t>כולל</t>
  </si>
  <si>
    <t>כ.מנוי+חוזה</t>
  </si>
  <si>
    <t>שכר חודשי</t>
  </si>
  <si>
    <t xml:space="preserve">חוזה מס"ה </t>
  </si>
  <si>
    <t xml:space="preserve">כ. מינוי מס"ה </t>
  </si>
  <si>
    <t>מינוי+חוזה</t>
  </si>
  <si>
    <t>לת.חוזה לפי</t>
  </si>
  <si>
    <t>על כל שנה</t>
  </si>
  <si>
    <t>לתקופת חוזה</t>
  </si>
  <si>
    <t xml:space="preserve">עד20.33שנה </t>
  </si>
  <si>
    <t xml:space="preserve">          ב פ ו ע ל</t>
  </si>
  <si>
    <t>הפנסיה</t>
  </si>
  <si>
    <t xml:space="preserve"> שעורהפנסיה</t>
  </si>
  <si>
    <t>שנות שרות</t>
  </si>
  <si>
    <t>לשנה (%)</t>
  </si>
  <si>
    <t>(אחוזים)</t>
  </si>
  <si>
    <t>בפועל</t>
  </si>
  <si>
    <t>נוסחת נש"מ</t>
  </si>
  <si>
    <t>₪</t>
  </si>
  <si>
    <t>לנש"מ</t>
  </si>
  <si>
    <t>ע"פ חוזה</t>
  </si>
  <si>
    <t>מ2% לשנה</t>
  </si>
  <si>
    <t>לשנה (מ-2%)</t>
  </si>
  <si>
    <t xml:space="preserve"> בכתב מנוי</t>
  </si>
  <si>
    <t>(טור(3) חלקי (1</t>
  </si>
  <si>
    <t>(20.33 חלקי (1)</t>
  </si>
  <si>
    <t>טור4+5</t>
  </si>
  <si>
    <t xml:space="preserve">  ('2% X טור 3)</t>
  </si>
  <si>
    <t>טור6 חלקי (3)</t>
  </si>
  <si>
    <t>טור4 כפול טור2</t>
  </si>
  <si>
    <t>טור 7חלקי טור3</t>
  </si>
  <si>
    <t>טור7חלקי טור5</t>
  </si>
  <si>
    <t>טור9חלקי 20.33</t>
  </si>
  <si>
    <t>טור5 חלקי 3</t>
  </si>
  <si>
    <t>טור6 חלקי טור3</t>
  </si>
  <si>
    <t>טור5 מינוס טור6</t>
  </si>
  <si>
    <t xml:space="preserve">יחס טור8 ל-2% </t>
  </si>
  <si>
    <t>קובעת כ"מ</t>
  </si>
  <si>
    <t xml:space="preserve">% שנים  </t>
  </si>
  <si>
    <t>לפנסית חוזה</t>
  </si>
  <si>
    <t>(עד 35 שנה)</t>
  </si>
  <si>
    <t>לפנסית כ.מ</t>
  </si>
  <si>
    <t>משכורת  44+</t>
  </si>
  <si>
    <t>לפנסיה מתואם</t>
  </si>
  <si>
    <t>(% מס"ה שרות)</t>
  </si>
  <si>
    <t xml:space="preserve"> =</t>
  </si>
  <si>
    <t>שנים עודפות</t>
  </si>
  <si>
    <t xml:space="preserve">   </t>
  </si>
  <si>
    <t xml:space="preserve">                % משרות</t>
  </si>
  <si>
    <t>תקופת.חוזה</t>
  </si>
  <si>
    <t>שכרממוצע</t>
  </si>
  <si>
    <t>שקלול שנות חוזה</t>
  </si>
  <si>
    <t>.</t>
  </si>
  <si>
    <r>
      <t xml:space="preserve">מלא את התאים </t>
    </r>
    <r>
      <rPr>
        <b/>
        <u/>
        <sz val="10"/>
        <color theme="5" tint="-0.499984740745262"/>
        <rFont val="Arial"/>
        <family val="2"/>
      </rPr>
      <t>"שנים" ו"משכורת"</t>
    </r>
  </si>
  <si>
    <t>שנות עבודה</t>
  </si>
  <si>
    <t xml:space="preserve">           שעורי פנסיה לפי משכורת חוזה לתקופת חוזה </t>
  </si>
  <si>
    <t xml:space="preserve">    ת ק ו פ ת   ה ח ו ז ה</t>
  </si>
  <si>
    <t xml:space="preserve">     תקופת כ. מינוי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</si>
</sst>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₪&quot;\ #,##0;&quot;₪&quot;\ \-#,##0"/>
    <numFmt numFmtId="43" formatCode="_ * #,##0.00_ ;_ * \-#,##0.00_ ;_ * &quot;-&quot;??_ ;_ @_ "/>
    <numFmt numFmtId="164" formatCode="&quot;₪&quot;\ #,##0"/>
    <numFmt numFmtId="165" formatCode="General\ &quot;שנה&quot;"/>
    <numFmt numFmtId="166" formatCode="0%\ &quot;לשנה&quot;"/>
    <numFmt numFmtId="167" formatCode="\(\ע\ד0%\)"/>
    <numFmt numFmtId="168" formatCode="\(&quot;&quot;0%\ &quot;עד)&quot;"/>
    <numFmt numFmtId="169" formatCode="0.0%"/>
    <numFmt numFmtId="170" formatCode="0%\ &quot;לשנה, עד&quot;"/>
    <numFmt numFmtId="171" formatCode="General&quot;שנה (70%)&quot;"/>
    <numFmt numFmtId="172" formatCode="General\ &quot;=&quot;"/>
    <numFmt numFmtId="173" formatCode="&quot;₪&quot;\ #,##0.00"/>
    <numFmt numFmtId="174" formatCode="General\ "/>
    <numFmt numFmtId="175" formatCode="General&quot;שנה&quot;"/>
    <numFmt numFmtId="176" formatCode="_ * #,##0_ ;_ * \-#,##0_ ;_ * &quot;-&quot;??_ ;_ @_ "/>
    <numFmt numFmtId="179" formatCode="General&quot;עד&quot;\ &quot;שנה&quot;"/>
    <numFmt numFmtId="186" formatCode="&quot;₪&quot;\ #,##0.0"/>
    <numFmt numFmtId="191" formatCode="#,##0.00&quot;שנה&quot;"/>
    <numFmt numFmtId="199" formatCode="0.00\ &quot;שנה&quot;"/>
    <numFmt numFmtId="200" formatCode="General\ \ "/>
  </numFmts>
  <fonts count="32" x14ac:knownFonts="1"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  <scheme val="minor"/>
    </font>
    <font>
      <sz val="14"/>
      <name val="Arial"/>
      <family val="2"/>
    </font>
    <font>
      <sz val="10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b/>
      <u/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u/>
      <sz val="11"/>
      <name val="Arial"/>
      <family val="2"/>
      <scheme val="minor"/>
    </font>
    <font>
      <sz val="12"/>
      <name val="Arial"/>
      <family val="2"/>
    </font>
    <font>
      <u val="singleAccounting"/>
      <sz val="10"/>
      <name val="Arial"/>
      <family val="2"/>
    </font>
    <font>
      <sz val="14"/>
      <color theme="1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sz val="11"/>
      <color rgb="FF00B050"/>
      <name val="Arial"/>
      <family val="2"/>
      <scheme val="minor"/>
    </font>
    <font>
      <b/>
      <u/>
      <sz val="11"/>
      <color rgb="FF00B050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0"/>
      <color rgb="FFC00000"/>
      <name val="Arial"/>
      <family val="2"/>
    </font>
    <font>
      <b/>
      <sz val="10"/>
      <color theme="5" tint="-0.499984740745262"/>
      <name val="Arial"/>
      <family val="2"/>
    </font>
    <font>
      <b/>
      <u/>
      <sz val="10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0" fillId="0" borderId="6" xfId="0" applyBorder="1"/>
    <xf numFmtId="2" fontId="0" fillId="0" borderId="7" xfId="0" applyNumberFormat="1" applyBorder="1"/>
    <xf numFmtId="164" fontId="0" fillId="0" borderId="4" xfId="0" applyNumberFormat="1" applyBorder="1"/>
    <xf numFmtId="0" fontId="5" fillId="0" borderId="8" xfId="0" applyFont="1" applyBorder="1" applyAlignment="1">
      <alignment horizontal="left"/>
    </xf>
    <xf numFmtId="0" fontId="0" fillId="0" borderId="9" xfId="0" applyBorder="1"/>
    <xf numFmtId="2" fontId="7" fillId="0" borderId="10" xfId="0" applyNumberFormat="1" applyFont="1" applyBorder="1"/>
    <xf numFmtId="164" fontId="0" fillId="0" borderId="11" xfId="0" applyNumberFormat="1" applyBorder="1"/>
    <xf numFmtId="0" fontId="6" fillId="0" borderId="0" xfId="0" applyFont="1"/>
    <xf numFmtId="0" fontId="0" fillId="0" borderId="12" xfId="0" applyBorder="1"/>
    <xf numFmtId="0" fontId="6" fillId="0" borderId="0" xfId="0" applyFont="1" applyAlignment="1">
      <alignment horizontal="left"/>
    </xf>
    <xf numFmtId="165" fontId="5" fillId="0" borderId="13" xfId="0" applyNumberFormat="1" applyFont="1" applyBorder="1" applyAlignment="1">
      <alignment horizontal="center" readingOrder="2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5" fontId="2" fillId="0" borderId="13" xfId="1" applyNumberFormat="1" applyFont="1" applyBorder="1" applyAlignment="1"/>
    <xf numFmtId="166" fontId="0" fillId="0" borderId="0" xfId="0" applyNumberFormat="1" applyAlignment="1">
      <alignment horizontal="center" readingOrder="2"/>
    </xf>
    <xf numFmtId="0" fontId="0" fillId="0" borderId="14" xfId="0" applyBorder="1"/>
    <xf numFmtId="166" fontId="0" fillId="0" borderId="2" xfId="0" applyNumberFormat="1" applyBorder="1" applyAlignment="1">
      <alignment horizontal="center" readingOrder="2"/>
    </xf>
    <xf numFmtId="0" fontId="0" fillId="0" borderId="15" xfId="0" applyBorder="1"/>
    <xf numFmtId="0" fontId="5" fillId="0" borderId="16" xfId="0" applyFont="1" applyBorder="1" applyAlignment="1">
      <alignment readingOrder="2"/>
    </xf>
    <xf numFmtId="0" fontId="7" fillId="2" borderId="15" xfId="0" applyFont="1" applyFill="1" applyBorder="1"/>
    <xf numFmtId="0" fontId="5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7" fillId="0" borderId="15" xfId="0" applyFont="1" applyBorder="1"/>
    <xf numFmtId="167" fontId="10" fillId="0" borderId="0" xfId="2" applyNumberFormat="1" applyFont="1" applyBorder="1" applyAlignment="1">
      <alignment horizontal="center"/>
    </xf>
    <xf numFmtId="10" fontId="2" fillId="0" borderId="0" xfId="0" applyNumberFormat="1" applyFont="1"/>
    <xf numFmtId="0" fontId="0" fillId="0" borderId="5" xfId="0" applyBorder="1"/>
    <xf numFmtId="168" fontId="7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/>
    <xf numFmtId="0" fontId="2" fillId="0" borderId="17" xfId="0" applyFont="1" applyBorder="1" applyAlignment="1">
      <alignment horizontal="center" vertical="top"/>
    </xf>
    <xf numFmtId="169" fontId="0" fillId="0" borderId="0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70" fontId="10" fillId="0" borderId="0" xfId="0" applyNumberFormat="1" applyFont="1" applyAlignment="1">
      <alignment horizontal="center" readingOrder="2"/>
    </xf>
    <xf numFmtId="171" fontId="10" fillId="0" borderId="0" xfId="0" applyNumberFormat="1" applyFont="1" applyAlignment="1">
      <alignment horizontal="right" readingOrder="2"/>
    </xf>
    <xf numFmtId="0" fontId="7" fillId="0" borderId="5" xfId="0" applyFont="1" applyBorder="1"/>
    <xf numFmtId="0" fontId="5" fillId="0" borderId="21" xfId="0" applyFont="1" applyBorder="1" applyAlignment="1">
      <alignment horizontal="left"/>
    </xf>
    <xf numFmtId="164" fontId="0" fillId="0" borderId="6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7" xfId="0" applyNumberFormat="1" applyBorder="1"/>
    <xf numFmtId="10" fontId="2" fillId="0" borderId="19" xfId="2" applyNumberFormat="1" applyFont="1" applyBorder="1" applyAlignment="1">
      <alignment horizontal="center"/>
    </xf>
    <xf numFmtId="172" fontId="7" fillId="2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10" fontId="2" fillId="0" borderId="20" xfId="2" applyNumberFormat="1" applyFont="1" applyBorder="1" applyAlignment="1">
      <alignment horizontal="center"/>
    </xf>
    <xf numFmtId="172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8" xfId="0" applyFill="1" applyBorder="1"/>
    <xf numFmtId="0" fontId="5" fillId="2" borderId="12" xfId="0" applyFont="1" applyFill="1" applyBorder="1" applyAlignment="1">
      <alignment readingOrder="2"/>
    </xf>
    <xf numFmtId="10" fontId="4" fillId="2" borderId="22" xfId="2" applyNumberFormat="1" applyFont="1" applyFill="1" applyBorder="1"/>
    <xf numFmtId="173" fontId="2" fillId="0" borderId="21" xfId="0" applyNumberFormat="1" applyFont="1" applyBorder="1"/>
    <xf numFmtId="0" fontId="0" fillId="0" borderId="21" xfId="0" applyBorder="1"/>
    <xf numFmtId="0" fontId="0" fillId="0" borderId="11" xfId="0" applyBorder="1"/>
    <xf numFmtId="0" fontId="0" fillId="0" borderId="23" xfId="0" applyBorder="1"/>
    <xf numFmtId="2" fontId="0" fillId="0" borderId="21" xfId="0" applyNumberFormat="1" applyBorder="1" applyAlignment="1">
      <alignment horizontal="center"/>
    </xf>
    <xf numFmtId="0" fontId="0" fillId="0" borderId="24" xfId="0" applyBorder="1"/>
    <xf numFmtId="0" fontId="8" fillId="0" borderId="0" xfId="0" quotePrefix="1" applyFont="1" applyAlignment="1">
      <alignment horizontal="center"/>
    </xf>
    <xf numFmtId="5" fontId="0" fillId="0" borderId="0" xfId="0" applyNumberFormat="1"/>
    <xf numFmtId="5" fontId="0" fillId="0" borderId="0" xfId="0" applyNumberFormat="1" applyAlignment="1">
      <alignment horizontal="center"/>
    </xf>
    <xf numFmtId="0" fontId="0" fillId="3" borderId="25" xfId="0" applyFill="1" applyBorder="1"/>
    <xf numFmtId="0" fontId="7" fillId="3" borderId="14" xfId="0" applyFont="1" applyFill="1" applyBorder="1"/>
    <xf numFmtId="5" fontId="10" fillId="0" borderId="0" xfId="0" applyNumberFormat="1" applyFont="1" applyAlignment="1">
      <alignment horizontal="center"/>
    </xf>
    <xf numFmtId="5" fontId="11" fillId="0" borderId="0" xfId="0" applyNumberFormat="1" applyFont="1"/>
    <xf numFmtId="5" fontId="11" fillId="0" borderId="0" xfId="0" applyNumberFormat="1" applyFont="1" applyAlignment="1">
      <alignment horizontal="center"/>
    </xf>
    <xf numFmtId="0" fontId="5" fillId="3" borderId="21" xfId="0" applyFont="1" applyFill="1" applyBorder="1"/>
    <xf numFmtId="0" fontId="2" fillId="3" borderId="21" xfId="0" applyFont="1" applyFill="1" applyBorder="1"/>
    <xf numFmtId="0" fontId="10" fillId="0" borderId="0" xfId="0" applyFont="1"/>
    <xf numFmtId="9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 readingOrder="2"/>
    </xf>
    <xf numFmtId="173" fontId="0" fillId="0" borderId="0" xfId="0" applyNumberFormat="1"/>
    <xf numFmtId="0" fontId="2" fillId="0" borderId="0" xfId="0" applyFont="1"/>
    <xf numFmtId="9" fontId="13" fillId="0" borderId="0" xfId="2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8" xfId="2" applyNumberFormat="1" applyFont="1" applyBorder="1" applyAlignment="1">
      <alignment horizontal="center"/>
    </xf>
    <xf numFmtId="174" fontId="2" fillId="3" borderId="12" xfId="0" applyNumberFormat="1" applyFont="1" applyFill="1" applyBorder="1" applyAlignment="1">
      <alignment horizontal="left"/>
    </xf>
    <xf numFmtId="0" fontId="2" fillId="0" borderId="12" xfId="0" applyFont="1" applyBorder="1"/>
    <xf numFmtId="164" fontId="2" fillId="0" borderId="9" xfId="0" applyNumberFormat="1" applyFont="1" applyBorder="1"/>
    <xf numFmtId="10" fontId="2" fillId="0" borderId="5" xfId="2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 readingOrder="2"/>
    </xf>
    <xf numFmtId="0" fontId="0" fillId="3" borderId="8" xfId="0" applyFill="1" applyBorder="1"/>
    <xf numFmtId="0" fontId="5" fillId="3" borderId="12" xfId="0" applyFont="1" applyFill="1" applyBorder="1" applyAlignment="1">
      <alignment readingOrder="2"/>
    </xf>
    <xf numFmtId="10" fontId="4" fillId="3" borderId="26" xfId="2" applyNumberFormat="1" applyFont="1" applyFill="1" applyBorder="1"/>
    <xf numFmtId="0" fontId="0" fillId="0" borderId="8" xfId="0" applyBorder="1"/>
    <xf numFmtId="2" fontId="2" fillId="0" borderId="12" xfId="0" applyNumberFormat="1" applyFont="1" applyBorder="1" applyAlignment="1">
      <alignment horizontal="left"/>
    </xf>
    <xf numFmtId="9" fontId="0" fillId="0" borderId="0" xfId="2" applyFont="1" applyBorder="1" applyAlignment="1">
      <alignment horizontal="center"/>
    </xf>
    <xf numFmtId="164" fontId="2" fillId="0" borderId="0" xfId="0" applyNumberFormat="1" applyFont="1"/>
    <xf numFmtId="4" fontId="5" fillId="0" borderId="0" xfId="0" applyNumberFormat="1" applyFont="1"/>
    <xf numFmtId="0" fontId="0" fillId="0" borderId="0" xfId="0" quotePrefix="1"/>
    <xf numFmtId="4" fontId="0" fillId="0" borderId="0" xfId="0" applyNumberFormat="1"/>
    <xf numFmtId="0" fontId="0" fillId="0" borderId="3" xfId="0" applyBorder="1"/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2" fillId="0" borderId="16" xfId="0" applyFont="1" applyBorder="1" applyAlignment="1">
      <alignment horizontal="right" vertical="top" readingOrder="2"/>
    </xf>
    <xf numFmtId="0" fontId="0" fillId="0" borderId="28" xfId="0" applyBorder="1"/>
    <xf numFmtId="0" fontId="0" fillId="0" borderId="4" xfId="0" applyBorder="1"/>
    <xf numFmtId="0" fontId="5" fillId="0" borderId="18" xfId="0" applyFont="1" applyBorder="1" applyAlignment="1">
      <alignment horizontal="right" vertical="top"/>
    </xf>
    <xf numFmtId="0" fontId="2" fillId="0" borderId="18" xfId="0" applyFont="1" applyBorder="1" applyAlignment="1">
      <alignment horizontal="right" vertical="top" readingOrder="2"/>
    </xf>
    <xf numFmtId="0" fontId="5" fillId="0" borderId="15" xfId="0" applyFont="1" applyBorder="1"/>
    <xf numFmtId="9" fontId="0" fillId="0" borderId="10" xfId="2" applyFont="1" applyBorder="1"/>
    <xf numFmtId="0" fontId="2" fillId="0" borderId="12" xfId="0" applyFont="1" applyBorder="1" applyAlignment="1">
      <alignment horizontal="center"/>
    </xf>
    <xf numFmtId="0" fontId="2" fillId="0" borderId="24" xfId="0" applyFont="1" applyBorder="1"/>
    <xf numFmtId="0" fontId="0" fillId="0" borderId="29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164" fontId="0" fillId="0" borderId="7" xfId="1" applyNumberFormat="1" applyFont="1" applyBorder="1"/>
    <xf numFmtId="5" fontId="0" fillId="0" borderId="17" xfId="1" applyNumberFormat="1" applyFont="1" applyBorder="1" applyAlignment="1">
      <alignment horizontal="center"/>
    </xf>
    <xf numFmtId="5" fontId="0" fillId="0" borderId="20" xfId="1" applyNumberFormat="1" applyFont="1" applyBorder="1"/>
    <xf numFmtId="5" fontId="0" fillId="0" borderId="17" xfId="1" applyNumberFormat="1" applyFont="1" applyBorder="1"/>
    <xf numFmtId="5" fontId="0" fillId="0" borderId="0" xfId="1" applyNumberFormat="1" applyFont="1"/>
    <xf numFmtId="10" fontId="0" fillId="0" borderId="3" xfId="2" applyNumberFormat="1" applyFont="1" applyBorder="1"/>
    <xf numFmtId="0" fontId="7" fillId="0" borderId="0" xfId="0" applyFont="1" applyAlignment="1">
      <alignment horizontal="left"/>
    </xf>
    <xf numFmtId="5" fontId="0" fillId="0" borderId="6" xfId="1" applyNumberFormat="1" applyFont="1" applyBorder="1"/>
    <xf numFmtId="0" fontId="5" fillId="0" borderId="5" xfId="0" applyFont="1" applyBorder="1" applyAlignment="1">
      <alignment horizontal="right"/>
    </xf>
    <xf numFmtId="10" fontId="2" fillId="0" borderId="3" xfId="2" applyNumberFormat="1" applyFont="1" applyBorder="1" applyAlignment="1">
      <alignment horizontal="right"/>
    </xf>
    <xf numFmtId="172" fontId="2" fillId="0" borderId="28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9" fontId="14" fillId="0" borderId="0" xfId="2" applyFont="1" applyBorder="1" applyAlignment="1">
      <alignment horizontal="center"/>
    </xf>
    <xf numFmtId="169" fontId="15" fillId="0" borderId="0" xfId="2" applyNumberFormat="1" applyFont="1" applyFill="1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center"/>
    </xf>
    <xf numFmtId="43" fontId="16" fillId="0" borderId="0" xfId="0" applyNumberFormat="1" applyFont="1"/>
    <xf numFmtId="43" fontId="2" fillId="0" borderId="0" xfId="1" applyFont="1"/>
    <xf numFmtId="43" fontId="2" fillId="0" borderId="0" xfId="0" applyNumberFormat="1" applyFont="1"/>
    <xf numFmtId="43" fontId="17" fillId="0" borderId="0" xfId="1" applyFont="1"/>
    <xf numFmtId="10" fontId="0" fillId="0" borderId="0" xfId="2" applyNumberFormat="1" applyFont="1"/>
    <xf numFmtId="0" fontId="7" fillId="0" borderId="0" xfId="0" applyFont="1"/>
    <xf numFmtId="2" fontId="0" fillId="0" borderId="0" xfId="0" applyNumberFormat="1"/>
    <xf numFmtId="10" fontId="13" fillId="0" borderId="0" xfId="2" applyNumberFormat="1" applyFont="1" applyFill="1" applyBorder="1" applyAlignment="1">
      <alignment horizontal="center"/>
    </xf>
    <xf numFmtId="43" fontId="5" fillId="0" borderId="0" xfId="1" applyFont="1" applyBorder="1"/>
    <xf numFmtId="1" fontId="0" fillId="0" borderId="0" xfId="0" applyNumberFormat="1" applyAlignment="1">
      <alignment horizontal="center"/>
    </xf>
    <xf numFmtId="0" fontId="18" fillId="0" borderId="0" xfId="0" applyFont="1"/>
    <xf numFmtId="0" fontId="0" fillId="4" borderId="0" xfId="0" applyFill="1" applyAlignment="1">
      <alignment horizontal="center"/>
    </xf>
    <xf numFmtId="175" fontId="0" fillId="0" borderId="0" xfId="0" applyNumberFormat="1" applyAlignment="1">
      <alignment horizontal="center" readingOrder="2"/>
    </xf>
    <xf numFmtId="0" fontId="7" fillId="0" borderId="4" xfId="0" applyFont="1" applyBorder="1"/>
    <xf numFmtId="0" fontId="0" fillId="5" borderId="30" xfId="0" applyFill="1" applyBorder="1"/>
    <xf numFmtId="0" fontId="1" fillId="0" borderId="0" xfId="3"/>
    <xf numFmtId="0" fontId="1" fillId="0" borderId="0" xfId="3" applyAlignment="1">
      <alignment horizontal="center"/>
    </xf>
    <xf numFmtId="0" fontId="18" fillId="0" borderId="0" xfId="3" applyFont="1"/>
    <xf numFmtId="0" fontId="1" fillId="0" borderId="0" xfId="3" applyAlignment="1">
      <alignment horizontal="right"/>
    </xf>
    <xf numFmtId="0" fontId="18" fillId="0" borderId="31" xfId="3" applyFont="1" applyBorder="1"/>
    <xf numFmtId="0" fontId="1" fillId="0" borderId="32" xfId="3" applyBorder="1"/>
    <xf numFmtId="0" fontId="1" fillId="0" borderId="32" xfId="3" applyBorder="1" applyAlignment="1">
      <alignment horizontal="center"/>
    </xf>
    <xf numFmtId="170" fontId="10" fillId="0" borderId="32" xfId="3" applyNumberFormat="1" applyFont="1" applyBorder="1" applyAlignment="1">
      <alignment horizontal="center" readingOrder="2"/>
    </xf>
    <xf numFmtId="171" fontId="10" fillId="0" borderId="33" xfId="3" applyNumberFormat="1" applyFont="1" applyBorder="1" applyAlignment="1">
      <alignment horizontal="right" readingOrder="2"/>
    </xf>
    <xf numFmtId="0" fontId="18" fillId="0" borderId="32" xfId="3" applyFont="1" applyBorder="1"/>
    <xf numFmtId="164" fontId="1" fillId="0" borderId="33" xfId="3" applyNumberFormat="1" applyBorder="1"/>
    <xf numFmtId="0" fontId="19" fillId="0" borderId="32" xfId="3" applyFont="1" applyBorder="1"/>
    <xf numFmtId="0" fontId="1" fillId="0" borderId="34" xfId="3" applyBorder="1"/>
    <xf numFmtId="0" fontId="18" fillId="0" borderId="33" xfId="3" applyFont="1" applyBorder="1"/>
    <xf numFmtId="0" fontId="18" fillId="0" borderId="24" xfId="3" applyFont="1" applyBorder="1"/>
    <xf numFmtId="0" fontId="18" fillId="0" borderId="11" xfId="3" applyFont="1" applyBorder="1" applyAlignment="1">
      <alignment horizontal="center"/>
    </xf>
    <xf numFmtId="0" fontId="18" fillId="0" borderId="24" xfId="3" applyFont="1" applyBorder="1" applyAlignment="1">
      <alignment horizontal="right"/>
    </xf>
    <xf numFmtId="0" fontId="1" fillId="0" borderId="11" xfId="3" applyBorder="1"/>
    <xf numFmtId="0" fontId="18" fillId="0" borderId="29" xfId="3" applyFont="1" applyBorder="1" applyAlignment="1">
      <alignment horizontal="right" readingOrder="2"/>
    </xf>
    <xf numFmtId="0" fontId="18" fillId="0" borderId="11" xfId="3" applyFont="1" applyBorder="1" applyAlignment="1">
      <alignment horizontal="right" readingOrder="2"/>
    </xf>
    <xf numFmtId="0" fontId="18" fillId="3" borderId="24" xfId="3" applyFont="1" applyFill="1" applyBorder="1"/>
    <xf numFmtId="0" fontId="18" fillId="3" borderId="11" xfId="3" applyFont="1" applyFill="1" applyBorder="1"/>
    <xf numFmtId="0" fontId="18" fillId="2" borderId="24" xfId="3" applyFont="1" applyFill="1" applyBorder="1" applyAlignment="1">
      <alignment horizontal="right"/>
    </xf>
    <xf numFmtId="0" fontId="1" fillId="2" borderId="11" xfId="3" applyFill="1" applyBorder="1"/>
    <xf numFmtId="0" fontId="18" fillId="3" borderId="31" xfId="3" applyFont="1" applyFill="1" applyBorder="1"/>
    <xf numFmtId="0" fontId="18" fillId="3" borderId="34" xfId="3" applyFont="1" applyFill="1" applyBorder="1"/>
    <xf numFmtId="0" fontId="18" fillId="0" borderId="34" xfId="3" applyFont="1" applyBorder="1"/>
    <xf numFmtId="0" fontId="18" fillId="2" borderId="31" xfId="3" applyFont="1" applyFill="1" applyBorder="1" applyAlignment="1">
      <alignment horizontal="right"/>
    </xf>
    <xf numFmtId="0" fontId="18" fillId="2" borderId="33" xfId="3" applyFont="1" applyFill="1" applyBorder="1"/>
    <xf numFmtId="0" fontId="1" fillId="3" borderId="35" xfId="3" applyFill="1" applyBorder="1"/>
    <xf numFmtId="0" fontId="1" fillId="0" borderId="31" xfId="3" applyBorder="1"/>
    <xf numFmtId="0" fontId="18" fillId="0" borderId="32" xfId="3" applyFont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36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1" fillId="0" borderId="16" xfId="3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38" xfId="3" applyFont="1" applyBorder="1" applyAlignment="1">
      <alignment horizontal="center"/>
    </xf>
    <xf numFmtId="0" fontId="11" fillId="0" borderId="27" xfId="3" applyFont="1" applyBorder="1" applyAlignment="1">
      <alignment horizontal="center"/>
    </xf>
    <xf numFmtId="0" fontId="11" fillId="0" borderId="29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9" xfId="3" applyFont="1" applyBorder="1" applyAlignment="1">
      <alignment horizontal="center"/>
    </xf>
    <xf numFmtId="0" fontId="11" fillId="0" borderId="40" xfId="3" applyFont="1" applyBorder="1" applyAlignment="1">
      <alignment horizontal="center"/>
    </xf>
    <xf numFmtId="0" fontId="11" fillId="0" borderId="6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17" xfId="3" applyFont="1" applyBorder="1" applyAlignment="1">
      <alignment horizontal="center"/>
    </xf>
    <xf numFmtId="0" fontId="1" fillId="0" borderId="0" xfId="3" applyAlignment="1">
      <alignment horizontal="center" readingOrder="2"/>
    </xf>
    <xf numFmtId="0" fontId="11" fillId="0" borderId="20" xfId="3" applyFont="1" applyBorder="1" applyAlignment="1">
      <alignment horizontal="center"/>
    </xf>
    <xf numFmtId="0" fontId="11" fillId="0" borderId="11" xfId="3" applyFont="1" applyBorder="1" applyAlignment="1">
      <alignment horizontal="center"/>
    </xf>
    <xf numFmtId="0" fontId="1" fillId="0" borderId="41" xfId="3" applyBorder="1" applyAlignment="1">
      <alignment horizontal="center"/>
    </xf>
    <xf numFmtId="9" fontId="8" fillId="0" borderId="42" xfId="4" quotePrefix="1" applyFont="1" applyBorder="1" applyAlignment="1">
      <alignment horizontal="center" readingOrder="2"/>
    </xf>
    <xf numFmtId="0" fontId="8" fillId="0" borderId="0" xfId="3" quotePrefix="1" applyFont="1" applyAlignment="1">
      <alignment horizontal="center"/>
    </xf>
    <xf numFmtId="0" fontId="1" fillId="0" borderId="16" xfId="3" applyBorder="1" applyAlignment="1">
      <alignment horizontal="center"/>
    </xf>
    <xf numFmtId="5" fontId="1" fillId="0" borderId="40" xfId="3" applyNumberFormat="1" applyBorder="1"/>
    <xf numFmtId="5" fontId="1" fillId="0" borderId="4" xfId="3" applyNumberFormat="1" applyBorder="1"/>
    <xf numFmtId="5" fontId="1" fillId="0" borderId="27" xfId="3" applyNumberFormat="1" applyBorder="1"/>
    <xf numFmtId="5" fontId="1" fillId="0" borderId="0" xfId="3" applyNumberFormat="1"/>
    <xf numFmtId="0" fontId="1" fillId="3" borderId="16" xfId="3" applyFill="1" applyBorder="1"/>
    <xf numFmtId="0" fontId="1" fillId="3" borderId="6" xfId="3" applyFill="1" applyBorder="1" applyAlignment="1">
      <alignment readingOrder="2"/>
    </xf>
    <xf numFmtId="0" fontId="1" fillId="0" borderId="0" xfId="3" applyAlignment="1">
      <alignment readingOrder="2"/>
    </xf>
    <xf numFmtId="0" fontId="1" fillId="2" borderId="7" xfId="3" quotePrefix="1" applyFill="1" applyBorder="1" applyAlignment="1">
      <alignment horizontal="center"/>
    </xf>
    <xf numFmtId="0" fontId="1" fillId="2" borderId="17" xfId="3" applyFill="1" applyBorder="1" applyAlignment="1">
      <alignment horizontal="center" readingOrder="2"/>
    </xf>
    <xf numFmtId="0" fontId="1" fillId="0" borderId="0" xfId="3" quotePrefix="1" applyAlignment="1">
      <alignment horizontal="center"/>
    </xf>
    <xf numFmtId="0" fontId="1" fillId="3" borderId="6" xfId="3" quotePrefix="1" applyFill="1" applyBorder="1" applyAlignment="1">
      <alignment horizontal="center"/>
    </xf>
    <xf numFmtId="0" fontId="1" fillId="2" borderId="6" xfId="3" quotePrefix="1" applyFill="1" applyBorder="1" applyAlignment="1">
      <alignment horizontal="center"/>
    </xf>
    <xf numFmtId="0" fontId="1" fillId="3" borderId="19" xfId="3" applyFill="1" applyBorder="1"/>
    <xf numFmtId="9" fontId="1" fillId="0" borderId="0" xfId="3" applyNumberFormat="1" applyAlignment="1">
      <alignment horizontal="center"/>
    </xf>
    <xf numFmtId="0" fontId="1" fillId="0" borderId="18" xfId="3" applyBorder="1" applyAlignment="1">
      <alignment horizontal="right"/>
    </xf>
    <xf numFmtId="0" fontId="1" fillId="0" borderId="16" xfId="3" applyBorder="1"/>
    <xf numFmtId="0" fontId="8" fillId="0" borderId="15" xfId="3" applyFont="1" applyBorder="1" applyAlignment="1">
      <alignment horizontal="center"/>
    </xf>
    <xf numFmtId="0" fontId="8" fillId="3" borderId="27" xfId="3" applyFont="1" applyFill="1" applyBorder="1" applyAlignment="1">
      <alignment horizontal="center"/>
    </xf>
    <xf numFmtId="9" fontId="1" fillId="0" borderId="0" xfId="3" applyNumberFormat="1"/>
    <xf numFmtId="3" fontId="1" fillId="0" borderId="0" xfId="3" applyNumberFormat="1"/>
    <xf numFmtId="0" fontId="1" fillId="4" borderId="41" xfId="3" applyFill="1" applyBorder="1" applyAlignment="1">
      <alignment horizontal="center"/>
    </xf>
    <xf numFmtId="9" fontId="1" fillId="0" borderId="42" xfId="3" applyNumberFormat="1" applyBorder="1" applyAlignment="1">
      <alignment horizontal="center"/>
    </xf>
    <xf numFmtId="5" fontId="1" fillId="0" borderId="19" xfId="3" applyNumberFormat="1" applyBorder="1" applyAlignment="1">
      <alignment horizontal="center"/>
    </xf>
    <xf numFmtId="5" fontId="1" fillId="0" borderId="6" xfId="3" applyNumberFormat="1" applyBorder="1"/>
    <xf numFmtId="5" fontId="1" fillId="0" borderId="7" xfId="3" applyNumberFormat="1" applyBorder="1"/>
    <xf numFmtId="5" fontId="1" fillId="0" borderId="17" xfId="3" applyNumberFormat="1" applyBorder="1"/>
    <xf numFmtId="5" fontId="1" fillId="3" borderId="6" xfId="3" applyNumberFormat="1" applyFill="1" applyBorder="1"/>
    <xf numFmtId="9" fontId="1" fillId="3" borderId="6" xfId="3" applyNumberFormat="1" applyFill="1" applyBorder="1" applyAlignment="1">
      <alignment horizontal="center"/>
    </xf>
    <xf numFmtId="0" fontId="22" fillId="2" borderId="7" xfId="3" applyFont="1" applyFill="1" applyBorder="1" applyAlignment="1">
      <alignment horizontal="center"/>
    </xf>
    <xf numFmtId="9" fontId="1" fillId="2" borderId="17" xfId="3" applyNumberFormat="1" applyFill="1" applyBorder="1" applyAlignment="1">
      <alignment horizontal="center"/>
    </xf>
    <xf numFmtId="0" fontId="22" fillId="0" borderId="0" xfId="3" applyFont="1" applyAlignment="1">
      <alignment horizontal="center"/>
    </xf>
    <xf numFmtId="0" fontId="23" fillId="3" borderId="6" xfId="3" applyFont="1" applyFill="1" applyBorder="1" applyAlignment="1">
      <alignment horizontal="center"/>
    </xf>
    <xf numFmtId="0" fontId="22" fillId="2" borderId="6" xfId="3" applyFont="1" applyFill="1" applyBorder="1" applyAlignment="1">
      <alignment horizontal="center"/>
    </xf>
    <xf numFmtId="0" fontId="1" fillId="3" borderId="0" xfId="3" applyFill="1" applyAlignment="1">
      <alignment horizontal="center"/>
    </xf>
    <xf numFmtId="0" fontId="22" fillId="0" borderId="20" xfId="3" applyFont="1" applyBorder="1" applyAlignment="1">
      <alignment horizontal="right"/>
    </xf>
    <xf numFmtId="0" fontId="1" fillId="0" borderId="19" xfId="3" applyBorder="1"/>
    <xf numFmtId="9" fontId="1" fillId="3" borderId="38" xfId="3" quotePrefix="1" applyNumberFormat="1" applyFill="1" applyBorder="1"/>
    <xf numFmtId="9" fontId="11" fillId="0" borderId="0" xfId="3" applyNumberFormat="1" applyFont="1"/>
    <xf numFmtId="5" fontId="11" fillId="0" borderId="0" xfId="3" applyNumberFormat="1" applyFont="1"/>
    <xf numFmtId="0" fontId="11" fillId="0" borderId="0" xfId="3" applyFont="1"/>
    <xf numFmtId="175" fontId="1" fillId="0" borderId="41" xfId="3" applyNumberFormat="1" applyBorder="1" applyAlignment="1">
      <alignment horizontal="center" readingOrder="2"/>
    </xf>
    <xf numFmtId="166" fontId="1" fillId="0" borderId="42" xfId="3" applyNumberFormat="1" applyBorder="1" applyAlignment="1">
      <alignment horizontal="center" readingOrder="2"/>
    </xf>
    <xf numFmtId="5" fontId="11" fillId="0" borderId="6" xfId="3" applyNumberFormat="1" applyFont="1" applyBorder="1"/>
    <xf numFmtId="5" fontId="11" fillId="0" borderId="7" xfId="3" applyNumberFormat="1" applyFont="1" applyBorder="1"/>
    <xf numFmtId="5" fontId="11" fillId="0" borderId="17" xfId="3" applyNumberFormat="1" applyFont="1" applyBorder="1" applyAlignment="1">
      <alignment horizontal="center"/>
    </xf>
    <xf numFmtId="166" fontId="1" fillId="3" borderId="17" xfId="3" applyNumberFormat="1" applyFill="1" applyBorder="1" applyAlignment="1">
      <alignment horizontal="center" readingOrder="2"/>
    </xf>
    <xf numFmtId="9" fontId="21" fillId="3" borderId="6" xfId="3" applyNumberFormat="1" applyFont="1" applyFill="1" applyBorder="1" applyAlignment="1">
      <alignment horizontal="center"/>
    </xf>
    <xf numFmtId="9" fontId="21" fillId="0" borderId="0" xfId="3" applyNumberFormat="1" applyFont="1" applyAlignment="1">
      <alignment horizontal="center"/>
    </xf>
    <xf numFmtId="0" fontId="11" fillId="2" borderId="7" xfId="3" applyFont="1" applyFill="1" applyBorder="1" applyAlignment="1">
      <alignment horizontal="center"/>
    </xf>
    <xf numFmtId="9" fontId="21" fillId="2" borderId="17" xfId="3" applyNumberFormat="1" applyFont="1" applyFill="1" applyBorder="1" applyAlignment="1">
      <alignment horizontal="center"/>
    </xf>
    <xf numFmtId="9" fontId="11" fillId="3" borderId="0" xfId="4" applyFont="1" applyFill="1" applyAlignment="1">
      <alignment horizontal="center"/>
    </xf>
    <xf numFmtId="9" fontId="11" fillId="0" borderId="0" xfId="4" applyFont="1" applyFill="1" applyAlignment="1">
      <alignment horizontal="center"/>
    </xf>
    <xf numFmtId="0" fontId="11" fillId="2" borderId="6" xfId="3" applyFont="1" applyFill="1" applyBorder="1" applyAlignment="1">
      <alignment horizontal="center"/>
    </xf>
    <xf numFmtId="0" fontId="18" fillId="3" borderId="19" xfId="3" applyFont="1" applyFill="1" applyBorder="1" applyAlignment="1">
      <alignment horizontal="center"/>
    </xf>
    <xf numFmtId="9" fontId="12" fillId="2" borderId="0" xfId="3" applyNumberFormat="1" applyFont="1" applyFill="1" applyAlignment="1">
      <alignment horizontal="center"/>
    </xf>
    <xf numFmtId="9" fontId="11" fillId="3" borderId="38" xfId="3" applyNumberFormat="1" applyFont="1" applyFill="1" applyBorder="1" applyAlignment="1">
      <alignment horizontal="center"/>
    </xf>
    <xf numFmtId="167" fontId="10" fillId="0" borderId="42" xfId="4" applyNumberFormat="1" applyFont="1" applyBorder="1" applyAlignment="1">
      <alignment horizontal="center"/>
    </xf>
    <xf numFmtId="0" fontId="10" fillId="0" borderId="0" xfId="3" applyFont="1"/>
    <xf numFmtId="0" fontId="1" fillId="0" borderId="43" xfId="3" applyBorder="1" applyAlignment="1">
      <alignment horizontal="center"/>
    </xf>
    <xf numFmtId="9" fontId="12" fillId="0" borderId="6" xfId="3" applyNumberFormat="1" applyFont="1" applyBorder="1" applyAlignment="1">
      <alignment horizontal="center"/>
    </xf>
    <xf numFmtId="9" fontId="12" fillId="0" borderId="7" xfId="3" applyNumberFormat="1" applyFont="1" applyBorder="1" applyAlignment="1">
      <alignment horizontal="center" readingOrder="2"/>
    </xf>
    <xf numFmtId="9" fontId="12" fillId="0" borderId="44" xfId="3" applyNumberFormat="1" applyFont="1" applyBorder="1" applyAlignment="1">
      <alignment horizontal="center" readingOrder="2"/>
    </xf>
    <xf numFmtId="9" fontId="12" fillId="0" borderId="0" xfId="3" applyNumberFormat="1" applyFont="1" applyAlignment="1">
      <alignment horizontal="left"/>
    </xf>
    <xf numFmtId="9" fontId="12" fillId="0" borderId="19" xfId="3" applyNumberFormat="1" applyFont="1" applyBorder="1" applyAlignment="1">
      <alignment horizontal="center"/>
    </xf>
    <xf numFmtId="9" fontId="12" fillId="0" borderId="0" xfId="3" applyNumberFormat="1" applyFont="1" applyAlignment="1">
      <alignment horizontal="center"/>
    </xf>
    <xf numFmtId="9" fontId="12" fillId="0" borderId="7" xfId="3" applyNumberFormat="1" applyFont="1" applyBorder="1" applyAlignment="1">
      <alignment horizontal="center"/>
    </xf>
    <xf numFmtId="9" fontId="12" fillId="0" borderId="17" xfId="3" applyNumberFormat="1" applyFont="1" applyBorder="1" applyAlignment="1">
      <alignment horizontal="center"/>
    </xf>
    <xf numFmtId="9" fontId="12" fillId="0" borderId="20" xfId="3" applyNumberFormat="1" applyFont="1" applyBorder="1" applyAlignment="1">
      <alignment horizontal="center"/>
    </xf>
    <xf numFmtId="9" fontId="12" fillId="0" borderId="38" xfId="3" applyNumberFormat="1" applyFont="1" applyBorder="1" applyAlignment="1">
      <alignment horizontal="center"/>
    </xf>
    <xf numFmtId="9" fontId="12" fillId="0" borderId="0" xfId="3" applyNumberFormat="1" applyFont="1" applyAlignment="1">
      <alignment horizontal="right"/>
    </xf>
    <xf numFmtId="0" fontId="24" fillId="0" borderId="0" xfId="3" applyFont="1"/>
    <xf numFmtId="169" fontId="0" fillId="0" borderId="42" xfId="4" applyNumberFormat="1" applyFont="1" applyBorder="1" applyAlignment="1">
      <alignment horizontal="center"/>
    </xf>
    <xf numFmtId="0" fontId="1" fillId="0" borderId="19" xfId="3" applyBorder="1" applyAlignment="1">
      <alignment horizontal="center"/>
    </xf>
    <xf numFmtId="9" fontId="13" fillId="0" borderId="6" xfId="4" applyFont="1" applyFill="1" applyBorder="1" applyAlignment="1">
      <alignment horizontal="center"/>
    </xf>
    <xf numFmtId="9" fontId="13" fillId="0" borderId="7" xfId="4" applyFont="1" applyFill="1" applyBorder="1" applyAlignment="1">
      <alignment horizontal="center"/>
    </xf>
    <xf numFmtId="9" fontId="13" fillId="0" borderId="17" xfId="4" applyFont="1" applyFill="1" applyBorder="1" applyAlignment="1">
      <alignment horizontal="center"/>
    </xf>
    <xf numFmtId="9" fontId="13" fillId="3" borderId="19" xfId="4" applyFont="1" applyFill="1" applyBorder="1" applyAlignment="1">
      <alignment horizontal="center"/>
    </xf>
    <xf numFmtId="9" fontId="13" fillId="3" borderId="6" xfId="4" applyFont="1" applyFill="1" applyBorder="1" applyAlignment="1">
      <alignment horizontal="center"/>
    </xf>
    <xf numFmtId="9" fontId="13" fillId="0" borderId="0" xfId="4" applyFont="1" applyFill="1" applyBorder="1" applyAlignment="1">
      <alignment horizontal="center"/>
    </xf>
    <xf numFmtId="9" fontId="0" fillId="2" borderId="7" xfId="4" applyFont="1" applyFill="1" applyBorder="1" applyAlignment="1">
      <alignment horizontal="center"/>
    </xf>
    <xf numFmtId="9" fontId="0" fillId="2" borderId="17" xfId="4" applyFont="1" applyFill="1" applyBorder="1" applyAlignment="1">
      <alignment horizontal="center"/>
    </xf>
    <xf numFmtId="9" fontId="0" fillId="0" borderId="0" xfId="4" applyFont="1" applyBorder="1" applyAlignment="1">
      <alignment horizontal="center"/>
    </xf>
    <xf numFmtId="9" fontId="0" fillId="3" borderId="0" xfId="4" applyFont="1" applyFill="1" applyBorder="1" applyAlignment="1">
      <alignment horizontal="center"/>
    </xf>
    <xf numFmtId="9" fontId="0" fillId="3" borderId="7" xfId="4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0" fontId="0" fillId="2" borderId="6" xfId="4" applyNumberFormat="1" applyFont="1" applyFill="1" applyBorder="1" applyAlignment="1">
      <alignment horizontal="center"/>
    </xf>
    <xf numFmtId="10" fontId="0" fillId="2" borderId="0" xfId="4" applyNumberFormat="1" applyFont="1" applyFill="1" applyBorder="1" applyAlignment="1">
      <alignment horizontal="center"/>
    </xf>
    <xf numFmtId="10" fontId="0" fillId="0" borderId="0" xfId="4" applyNumberFormat="1" applyFont="1" applyFill="1" applyBorder="1" applyAlignment="1">
      <alignment horizontal="center"/>
    </xf>
    <xf numFmtId="3" fontId="1" fillId="3" borderId="19" xfId="3" applyNumberFormat="1" applyFill="1" applyBorder="1"/>
    <xf numFmtId="3" fontId="1" fillId="2" borderId="17" xfId="3" applyNumberFormat="1" applyFill="1" applyBorder="1"/>
    <xf numFmtId="3" fontId="1" fillId="0" borderId="0" xfId="3" applyNumberFormat="1" applyAlignment="1">
      <alignment horizontal="center"/>
    </xf>
    <xf numFmtId="9" fontId="1" fillId="3" borderId="0" xfId="3" applyNumberFormat="1" applyFill="1" applyAlignment="1">
      <alignment horizontal="center"/>
    </xf>
    <xf numFmtId="9" fontId="25" fillId="0" borderId="20" xfId="4" applyFont="1" applyBorder="1" applyAlignment="1">
      <alignment horizontal="center"/>
    </xf>
    <xf numFmtId="9" fontId="25" fillId="0" borderId="0" xfId="4" applyFont="1" applyBorder="1" applyAlignment="1">
      <alignment horizontal="center"/>
    </xf>
    <xf numFmtId="9" fontId="25" fillId="0" borderId="38" xfId="4" applyFont="1" applyBorder="1" applyAlignment="1">
      <alignment horizontal="center"/>
    </xf>
    <xf numFmtId="169" fontId="13" fillId="3" borderId="19" xfId="4" applyNumberFormat="1" applyFont="1" applyFill="1" applyBorder="1" applyAlignment="1">
      <alignment horizontal="center"/>
    </xf>
    <xf numFmtId="9" fontId="0" fillId="0" borderId="0" xfId="4" applyFont="1" applyFill="1"/>
    <xf numFmtId="9" fontId="0" fillId="0" borderId="0" xfId="4" applyFont="1"/>
    <xf numFmtId="176" fontId="1" fillId="0" borderId="0" xfId="3" applyNumberFormat="1"/>
    <xf numFmtId="169" fontId="0" fillId="3" borderId="7" xfId="4" applyNumberFormat="1" applyFont="1" applyFill="1" applyBorder="1" applyAlignment="1">
      <alignment horizontal="center"/>
    </xf>
    <xf numFmtId="9" fontId="13" fillId="0" borderId="0" xfId="4" applyFont="1" applyFill="1" applyAlignment="1">
      <alignment horizontal="right"/>
    </xf>
    <xf numFmtId="0" fontId="1" fillId="0" borderId="45" xfId="3" applyBorder="1" applyAlignment="1">
      <alignment horizontal="center"/>
    </xf>
    <xf numFmtId="169" fontId="0" fillId="0" borderId="46" xfId="4" applyNumberFormat="1" applyFont="1" applyBorder="1" applyAlignment="1">
      <alignment horizontal="center"/>
    </xf>
    <xf numFmtId="10" fontId="1" fillId="0" borderId="0" xfId="3" applyNumberFormat="1"/>
    <xf numFmtId="0" fontId="1" fillId="0" borderId="35" xfId="3" applyBorder="1" applyAlignment="1">
      <alignment horizontal="center"/>
    </xf>
    <xf numFmtId="169" fontId="0" fillId="0" borderId="47" xfId="4" applyNumberFormat="1" applyFont="1" applyBorder="1" applyAlignment="1">
      <alignment horizontal="center"/>
    </xf>
    <xf numFmtId="9" fontId="14" fillId="0" borderId="0" xfId="4" applyFont="1" applyBorder="1" applyAlignment="1">
      <alignment horizontal="center"/>
    </xf>
    <xf numFmtId="0" fontId="1" fillId="0" borderId="34" xfId="3" applyBorder="1" applyAlignment="1">
      <alignment horizontal="center"/>
    </xf>
    <xf numFmtId="169" fontId="15" fillId="0" borderId="34" xfId="4" applyNumberFormat="1" applyFont="1" applyFill="1" applyBorder="1" applyAlignment="1">
      <alignment horizontal="center"/>
    </xf>
    <xf numFmtId="9" fontId="13" fillId="0" borderId="34" xfId="4" applyFont="1" applyFill="1" applyBorder="1" applyAlignment="1">
      <alignment horizontal="center"/>
    </xf>
    <xf numFmtId="9" fontId="15" fillId="0" borderId="0" xfId="4" applyFont="1" applyFill="1" applyBorder="1" applyAlignment="1">
      <alignment horizontal="center"/>
    </xf>
    <xf numFmtId="10" fontId="15" fillId="3" borderId="34" xfId="4" applyNumberFormat="1" applyFont="1" applyFill="1" applyBorder="1" applyAlignment="1">
      <alignment horizontal="center"/>
    </xf>
    <xf numFmtId="169" fontId="13" fillId="3" borderId="34" xfId="4" applyNumberFormat="1" applyFont="1" applyFill="1" applyBorder="1" applyAlignment="1">
      <alignment horizontal="center"/>
    </xf>
    <xf numFmtId="10" fontId="0" fillId="2" borderId="34" xfId="4" applyNumberFormat="1" applyFont="1" applyFill="1" applyBorder="1" applyAlignment="1">
      <alignment horizontal="center"/>
    </xf>
    <xf numFmtId="9" fontId="0" fillId="3" borderId="34" xfId="4" applyFont="1" applyFill="1" applyBorder="1" applyAlignment="1">
      <alignment horizontal="center"/>
    </xf>
    <xf numFmtId="169" fontId="0" fillId="3" borderId="34" xfId="4" applyNumberFormat="1" applyFont="1" applyFill="1" applyBorder="1" applyAlignment="1">
      <alignment horizontal="center"/>
    </xf>
    <xf numFmtId="10" fontId="14" fillId="0" borderId="0" xfId="4" applyNumberFormat="1" applyFont="1" applyFill="1" applyBorder="1" applyAlignment="1">
      <alignment horizontal="center"/>
    </xf>
    <xf numFmtId="10" fontId="0" fillId="0" borderId="20" xfId="4" applyNumberFormat="1" applyFont="1" applyFill="1" applyBorder="1" applyAlignment="1">
      <alignment horizontal="center"/>
    </xf>
    <xf numFmtId="9" fontId="26" fillId="0" borderId="20" xfId="4" applyFont="1" applyBorder="1" applyAlignment="1">
      <alignment horizontal="center"/>
    </xf>
    <xf numFmtId="9" fontId="26" fillId="0" borderId="0" xfId="4" applyFont="1" applyBorder="1" applyAlignment="1">
      <alignment horizontal="center"/>
    </xf>
    <xf numFmtId="9" fontId="26" fillId="0" borderId="38" xfId="4" applyFont="1" applyBorder="1" applyAlignment="1">
      <alignment horizontal="center"/>
    </xf>
    <xf numFmtId="9" fontId="14" fillId="0" borderId="0" xfId="4" applyFont="1" applyFill="1"/>
    <xf numFmtId="10" fontId="27" fillId="2" borderId="17" xfId="4" applyNumberFormat="1" applyFont="1" applyFill="1" applyBorder="1" applyAlignment="1">
      <alignment horizontal="center"/>
    </xf>
    <xf numFmtId="10" fontId="27" fillId="2" borderId="34" xfId="4" applyNumberFormat="1" applyFont="1" applyFill="1" applyBorder="1" applyAlignment="1">
      <alignment horizontal="center"/>
    </xf>
    <xf numFmtId="3" fontId="27" fillId="0" borderId="0" xfId="3" applyNumberFormat="1" applyFont="1" applyAlignment="1">
      <alignment horizontal="center"/>
    </xf>
    <xf numFmtId="169" fontId="0" fillId="0" borderId="44" xfId="4" applyNumberFormat="1" applyFont="1" applyBorder="1" applyAlignment="1">
      <alignment horizontal="center"/>
    </xf>
    <xf numFmtId="169" fontId="0" fillId="0" borderId="0" xfId="4" applyNumberFormat="1" applyFont="1" applyBorder="1" applyAlignment="1">
      <alignment horizontal="center"/>
    </xf>
    <xf numFmtId="10" fontId="13" fillId="0" borderId="0" xfId="4" applyNumberFormat="1" applyFont="1" applyFill="1" applyBorder="1" applyAlignment="1">
      <alignment horizontal="center"/>
    </xf>
    <xf numFmtId="10" fontId="0" fillId="2" borderId="7" xfId="4" applyNumberFormat="1" applyFont="1" applyFill="1" applyBorder="1" applyAlignment="1">
      <alignment horizontal="center"/>
    </xf>
    <xf numFmtId="10" fontId="0" fillId="0" borderId="0" xfId="4" applyNumberFormat="1" applyFont="1" applyBorder="1" applyAlignment="1">
      <alignment horizontal="center"/>
    </xf>
    <xf numFmtId="10" fontId="27" fillId="2" borderId="0" xfId="4" applyNumberFormat="1" applyFont="1" applyFill="1" applyBorder="1" applyAlignment="1">
      <alignment horizontal="center"/>
    </xf>
    <xf numFmtId="10" fontId="27" fillId="0" borderId="0" xfId="4" applyNumberFormat="1" applyFont="1" applyFill="1" applyBorder="1" applyAlignment="1">
      <alignment horizontal="center"/>
    </xf>
    <xf numFmtId="10" fontId="28" fillId="0" borderId="38" xfId="4" applyNumberFormat="1" applyFont="1" applyFill="1" applyBorder="1" applyAlignment="1">
      <alignment horizontal="center"/>
    </xf>
    <xf numFmtId="10" fontId="13" fillId="0" borderId="0" xfId="4" applyNumberFormat="1" applyFont="1" applyBorder="1" applyAlignment="1">
      <alignment horizontal="center"/>
    </xf>
    <xf numFmtId="10" fontId="13" fillId="3" borderId="38" xfId="4" applyNumberFormat="1" applyFont="1" applyFill="1" applyBorder="1" applyAlignment="1">
      <alignment horizontal="center"/>
    </xf>
    <xf numFmtId="10" fontId="0" fillId="0" borderId="0" xfId="4" applyNumberFormat="1" applyFont="1" applyFill="1"/>
    <xf numFmtId="169" fontId="0" fillId="0" borderId="34" xfId="4" applyNumberFormat="1" applyFont="1" applyBorder="1" applyAlignment="1">
      <alignment horizontal="center"/>
    </xf>
    <xf numFmtId="0" fontId="1" fillId="0" borderId="20" xfId="3" applyBorder="1" applyAlignment="1">
      <alignment horizontal="center"/>
    </xf>
    <xf numFmtId="10" fontId="13" fillId="0" borderId="7" xfId="4" applyNumberFormat="1" applyFont="1" applyFill="1" applyBorder="1" applyAlignment="1">
      <alignment horizontal="center"/>
    </xf>
    <xf numFmtId="9" fontId="13" fillId="3" borderId="0" xfId="4" applyFont="1" applyFill="1" applyBorder="1" applyAlignment="1">
      <alignment horizontal="center"/>
    </xf>
    <xf numFmtId="169" fontId="0" fillId="3" borderId="0" xfId="4" applyNumberFormat="1" applyFont="1" applyFill="1" applyBorder="1" applyAlignment="1">
      <alignment horizontal="center"/>
    </xf>
    <xf numFmtId="10" fontId="27" fillId="0" borderId="31" xfId="4" applyNumberFormat="1" applyFont="1" applyFill="1" applyBorder="1" applyAlignment="1">
      <alignment horizontal="center"/>
    </xf>
    <xf numFmtId="3" fontId="1" fillId="3" borderId="34" xfId="3" applyNumberFormat="1" applyFill="1" applyBorder="1"/>
    <xf numFmtId="3" fontId="1" fillId="2" borderId="34" xfId="3" applyNumberFormat="1" applyFill="1" applyBorder="1"/>
    <xf numFmtId="3" fontId="27" fillId="0" borderId="34" xfId="3" applyNumberFormat="1" applyFont="1" applyBorder="1" applyAlignment="1">
      <alignment horizontal="center"/>
    </xf>
    <xf numFmtId="9" fontId="25" fillId="0" borderId="31" xfId="4" applyFont="1" applyBorder="1" applyAlignment="1">
      <alignment horizontal="center"/>
    </xf>
    <xf numFmtId="10" fontId="28" fillId="0" borderId="34" xfId="4" applyNumberFormat="1" applyFont="1" applyFill="1" applyBorder="1" applyAlignment="1">
      <alignment horizontal="center"/>
    </xf>
    <xf numFmtId="10" fontId="13" fillId="0" borderId="34" xfId="4" applyNumberFormat="1" applyFont="1" applyBorder="1" applyAlignment="1">
      <alignment horizontal="center"/>
    </xf>
    <xf numFmtId="10" fontId="13" fillId="3" borderId="34" xfId="4" applyNumberFormat="1" applyFont="1" applyFill="1" applyBorder="1" applyAlignment="1">
      <alignment horizontal="center"/>
    </xf>
    <xf numFmtId="9" fontId="13" fillId="3" borderId="34" xfId="4" applyFont="1" applyFill="1" applyBorder="1" applyAlignment="1">
      <alignment horizontal="center"/>
    </xf>
    <xf numFmtId="9" fontId="0" fillId="2" borderId="31" xfId="4" applyFont="1" applyFill="1" applyBorder="1" applyAlignment="1">
      <alignment horizontal="center"/>
    </xf>
    <xf numFmtId="9" fontId="0" fillId="0" borderId="32" xfId="4" applyFont="1" applyBorder="1" applyAlignment="1">
      <alignment horizontal="center"/>
    </xf>
    <xf numFmtId="169" fontId="0" fillId="3" borderId="33" xfId="4" applyNumberFormat="1" applyFont="1" applyFill="1" applyBorder="1" applyAlignment="1">
      <alignment horizontal="center"/>
    </xf>
    <xf numFmtId="1" fontId="1" fillId="0" borderId="41" xfId="3" applyNumberFormat="1" applyBorder="1" applyAlignment="1">
      <alignment horizontal="center"/>
    </xf>
    <xf numFmtId="9" fontId="13" fillId="0" borderId="48" xfId="4" applyFont="1" applyFill="1" applyBorder="1" applyAlignment="1">
      <alignment horizontal="center"/>
    </xf>
    <xf numFmtId="9" fontId="13" fillId="0" borderId="49" xfId="4" applyFont="1" applyFill="1" applyBorder="1" applyAlignment="1">
      <alignment horizontal="center"/>
    </xf>
    <xf numFmtId="9" fontId="13" fillId="0" borderId="11" xfId="4" applyFont="1" applyFill="1" applyBorder="1" applyAlignment="1">
      <alignment horizontal="center"/>
    </xf>
    <xf numFmtId="10" fontId="27" fillId="2" borderId="11" xfId="4" applyNumberFormat="1" applyFont="1" applyFill="1" applyBorder="1" applyAlignment="1">
      <alignment horizontal="center"/>
    </xf>
    <xf numFmtId="179" fontId="7" fillId="0" borderId="5" xfId="0" applyNumberFormat="1" applyFont="1" applyBorder="1" applyAlignment="1">
      <alignment horizontal="right"/>
    </xf>
    <xf numFmtId="10" fontId="5" fillId="0" borderId="13" xfId="2" applyNumberFormat="1" applyFont="1" applyBorder="1" applyAlignment="1">
      <alignment horizontal="center"/>
    </xf>
    <xf numFmtId="10" fontId="5" fillId="0" borderId="5" xfId="2" applyNumberFormat="1" applyFont="1" applyBorder="1" applyAlignment="1">
      <alignment horizontal="center"/>
    </xf>
    <xf numFmtId="10" fontId="5" fillId="0" borderId="20" xfId="2" applyNumberFormat="1" applyFont="1" applyBorder="1" applyAlignment="1">
      <alignment horizontal="center"/>
    </xf>
    <xf numFmtId="43" fontId="0" fillId="0" borderId="0" xfId="1" applyFont="1"/>
    <xf numFmtId="165" fontId="0" fillId="0" borderId="0" xfId="0" applyNumberFormat="1"/>
    <xf numFmtId="186" fontId="0" fillId="0" borderId="0" xfId="0" applyNumberFormat="1"/>
    <xf numFmtId="0" fontId="2" fillId="0" borderId="4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65" fontId="0" fillId="0" borderId="0" xfId="0" applyNumberFormat="1" applyAlignment="1">
      <alignment readingOrder="2"/>
    </xf>
    <xf numFmtId="9" fontId="0" fillId="0" borderId="0" xfId="2" applyFont="1"/>
    <xf numFmtId="10" fontId="0" fillId="0" borderId="4" xfId="2" applyNumberFormat="1" applyFont="1" applyBorder="1"/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right"/>
    </xf>
    <xf numFmtId="0" fontId="0" fillId="0" borderId="18" xfId="0" applyBorder="1"/>
    <xf numFmtId="5" fontId="2" fillId="0" borderId="0" xfId="1" applyNumberFormat="1" applyFont="1" applyBorder="1" applyAlignment="1"/>
    <xf numFmtId="0" fontId="5" fillId="0" borderId="18" xfId="0" applyFont="1" applyBorder="1" applyAlignment="1">
      <alignment readingOrder="2"/>
    </xf>
    <xf numFmtId="2" fontId="0" fillId="0" borderId="24" xfId="2" applyNumberFormat="1" applyFont="1" applyBorder="1"/>
    <xf numFmtId="0" fontId="7" fillId="2" borderId="18" xfId="0" applyFont="1" applyFill="1" applyBorder="1"/>
    <xf numFmtId="0" fontId="2" fillId="0" borderId="0" xfId="0" applyFont="1" applyBorder="1" applyAlignment="1">
      <alignment horizontal="left"/>
    </xf>
    <xf numFmtId="0" fontId="6" fillId="0" borderId="27" xfId="0" applyFont="1" applyBorder="1"/>
    <xf numFmtId="10" fontId="0" fillId="0" borderId="53" xfId="2" applyNumberFormat="1" applyFont="1" applyBorder="1"/>
    <xf numFmtId="165" fontId="5" fillId="0" borderId="33" xfId="0" applyNumberFormat="1" applyFont="1" applyBorder="1" applyAlignment="1">
      <alignment readingOrder="2"/>
    </xf>
    <xf numFmtId="0" fontId="0" fillId="0" borderId="49" xfId="0" applyBorder="1"/>
    <xf numFmtId="10" fontId="0" fillId="0" borderId="33" xfId="0" applyNumberFormat="1" applyBorder="1"/>
    <xf numFmtId="10" fontId="0" fillId="0" borderId="0" xfId="0" applyNumberFormat="1" applyBorder="1"/>
    <xf numFmtId="0" fontId="6" fillId="0" borderId="18" xfId="0" applyFont="1" applyBorder="1" applyAlignment="1">
      <alignment horizontal="left"/>
    </xf>
    <xf numFmtId="191" fontId="7" fillId="0" borderId="0" xfId="0" applyNumberFormat="1" applyFont="1" applyBorder="1" applyAlignment="1">
      <alignment horizontal="center"/>
    </xf>
    <xf numFmtId="191" fontId="7" fillId="2" borderId="0" xfId="0" applyNumberFormat="1" applyFont="1" applyFill="1" applyBorder="1" applyAlignment="1">
      <alignment horizontal="center"/>
    </xf>
    <xf numFmtId="0" fontId="7" fillId="0" borderId="39" xfId="0" applyFont="1" applyBorder="1"/>
    <xf numFmtId="199" fontId="10" fillId="0" borderId="5" xfId="0" applyNumberFormat="1" applyFont="1" applyBorder="1" applyAlignment="1">
      <alignment readingOrder="2"/>
    </xf>
    <xf numFmtId="0" fontId="0" fillId="0" borderId="0" xfId="0" applyAlignment="1">
      <alignment horizontal="right" readingOrder="2"/>
    </xf>
    <xf numFmtId="200" fontId="0" fillId="0" borderId="29" xfId="0" applyNumberFormat="1" applyFont="1" applyBorder="1" applyAlignment="1">
      <alignment horizontal="center" readingOrder="2"/>
    </xf>
    <xf numFmtId="0" fontId="7" fillId="0" borderId="27" xfId="0" applyFont="1" applyBorder="1"/>
    <xf numFmtId="10" fontId="0" fillId="0" borderId="8" xfId="0" applyNumberFormat="1" applyBorder="1"/>
    <xf numFmtId="40" fontId="29" fillId="0" borderId="34" xfId="2" applyNumberFormat="1" applyFont="1" applyBorder="1"/>
    <xf numFmtId="164" fontId="0" fillId="0" borderId="5" xfId="0" applyNumberFormat="1" applyBorder="1"/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8" xfId="0" applyFont="1" applyBorder="1"/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2" fillId="0" borderId="55" xfId="0" applyFont="1" applyBorder="1" applyAlignment="1">
      <alignment horizontal="right" readingOrder="2"/>
    </xf>
    <xf numFmtId="0" fontId="2" fillId="0" borderId="11" xfId="0" applyFont="1" applyBorder="1" applyAlignment="1">
      <alignment horizontal="center" vertical="top"/>
    </xf>
    <xf numFmtId="0" fontId="5" fillId="2" borderId="24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7" fillId="3" borderId="18" xfId="0" applyFont="1" applyFill="1" applyBorder="1"/>
    <xf numFmtId="0" fontId="2" fillId="3" borderId="24" xfId="0" applyFont="1" applyFill="1" applyBorder="1"/>
    <xf numFmtId="0" fontId="7" fillId="0" borderId="11" xfId="0" applyFont="1" applyBorder="1"/>
    <xf numFmtId="0" fontId="0" fillId="3" borderId="36" xfId="0" applyFill="1" applyBorder="1"/>
    <xf numFmtId="0" fontId="7" fillId="0" borderId="23" xfId="0" applyFont="1" applyBorder="1" applyAlignment="1">
      <alignment horizontal="center"/>
    </xf>
    <xf numFmtId="0" fontId="5" fillId="3" borderId="11" xfId="0" applyFont="1" applyFill="1" applyBorder="1"/>
    <xf numFmtId="0" fontId="2" fillId="0" borderId="27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74" fontId="2" fillId="3" borderId="0" xfId="0" applyNumberFormat="1" applyFont="1" applyFill="1" applyBorder="1" applyAlignment="1">
      <alignment horizontal="left"/>
    </xf>
    <xf numFmtId="200" fontId="29" fillId="0" borderId="34" xfId="0" applyNumberFormat="1" applyFont="1" applyBorder="1"/>
    <xf numFmtId="10" fontId="4" fillId="2" borderId="26" xfId="2" applyNumberFormat="1" applyFont="1" applyFill="1" applyBorder="1"/>
    <xf numFmtId="164" fontId="0" fillId="0" borderId="35" xfId="0" applyNumberFormat="1" applyBorder="1" applyAlignment="1">
      <alignment horizontal="center"/>
    </xf>
    <xf numFmtId="173" fontId="0" fillId="0" borderId="47" xfId="0" applyNumberFormat="1" applyBorder="1"/>
    <xf numFmtId="173" fontId="0" fillId="0" borderId="33" xfId="0" applyNumberFormat="1" applyBorder="1"/>
    <xf numFmtId="0" fontId="5" fillId="0" borderId="0" xfId="0" applyFont="1" applyBorder="1" applyAlignment="1">
      <alignment horizontal="left"/>
    </xf>
    <xf numFmtId="164" fontId="0" fillId="0" borderId="0" xfId="0" applyNumberFormat="1" applyBorder="1"/>
    <xf numFmtId="10" fontId="5" fillId="0" borderId="0" xfId="2" applyNumberFormat="1" applyFont="1" applyBorder="1" applyAlignment="1">
      <alignment horizontal="center"/>
    </xf>
    <xf numFmtId="199" fontId="10" fillId="0" borderId="0" xfId="0" applyNumberFormat="1" applyFont="1" applyBorder="1" applyAlignment="1">
      <alignment readingOrder="2"/>
    </xf>
    <xf numFmtId="164" fontId="2" fillId="0" borderId="0" xfId="0" applyNumberFormat="1" applyFont="1" applyBorder="1" applyAlignment="1">
      <alignment horizontal="center"/>
    </xf>
    <xf numFmtId="10" fontId="5" fillId="0" borderId="12" xfId="2" applyNumberFormat="1" applyFont="1" applyBorder="1" applyAlignment="1">
      <alignment horizontal="center"/>
    </xf>
    <xf numFmtId="164" fontId="2" fillId="0" borderId="12" xfId="0" applyNumberFormat="1" applyFont="1" applyBorder="1"/>
    <xf numFmtId="174" fontId="2" fillId="0" borderId="0" xfId="0" applyNumberFormat="1" applyFont="1" applyFill="1" applyBorder="1" applyAlignment="1">
      <alignment horizontal="left"/>
    </xf>
    <xf numFmtId="165" fontId="2" fillId="0" borderId="30" xfId="0" applyNumberFormat="1" applyFont="1" applyBorder="1" applyAlignment="1">
      <alignment horizontal="center" readingOrder="2"/>
    </xf>
    <xf numFmtId="0" fontId="5" fillId="0" borderId="30" xfId="0" applyFont="1" applyBorder="1" applyAlignment="1">
      <alignment horizontal="center"/>
    </xf>
    <xf numFmtId="164" fontId="0" fillId="0" borderId="50" xfId="0" applyNumberFormat="1" applyBorder="1"/>
    <xf numFmtId="191" fontId="7" fillId="0" borderId="0" xfId="0" applyNumberFormat="1" applyFont="1" applyFill="1" applyBorder="1" applyAlignment="1">
      <alignment horizontal="center"/>
    </xf>
    <xf numFmtId="2" fontId="0" fillId="0" borderId="0" xfId="2" applyNumberFormat="1" applyFont="1" applyBorder="1"/>
    <xf numFmtId="2" fontId="29" fillId="0" borderId="0" xfId="0" applyNumberFormat="1" applyFont="1" applyBorder="1"/>
    <xf numFmtId="40" fontId="29" fillId="0" borderId="0" xfId="2" applyNumberFormat="1" applyFont="1" applyBorder="1"/>
    <xf numFmtId="0" fontId="0" fillId="0" borderId="0" xfId="0" applyFill="1" applyBorder="1"/>
    <xf numFmtId="0" fontId="5" fillId="0" borderId="0" xfId="0" applyFont="1" applyFill="1" applyBorder="1" applyAlignment="1">
      <alignment readingOrder="2"/>
    </xf>
    <xf numFmtId="10" fontId="4" fillId="0" borderId="0" xfId="2" applyNumberFormat="1" applyFont="1" applyFill="1" applyBorder="1"/>
    <xf numFmtId="164" fontId="5" fillId="0" borderId="25" xfId="2" applyNumberFormat="1" applyFont="1" applyBorder="1" applyAlignment="1">
      <alignment horizontal="center"/>
    </xf>
    <xf numFmtId="173" fontId="0" fillId="0" borderId="12" xfId="0" applyNumberFormat="1" applyBorder="1"/>
    <xf numFmtId="186" fontId="0" fillId="0" borderId="0" xfId="0" applyNumberFormat="1" applyBorder="1"/>
    <xf numFmtId="0" fontId="6" fillId="0" borderId="3" xfId="0" applyFont="1" applyBorder="1" applyAlignment="1">
      <alignment horizontal="right"/>
    </xf>
    <xf numFmtId="165" fontId="30" fillId="0" borderId="51" xfId="0" applyNumberFormat="1" applyFont="1" applyBorder="1" applyAlignment="1">
      <alignment horizontal="center" readingOrder="2"/>
    </xf>
    <xf numFmtId="165" fontId="30" fillId="0" borderId="36" xfId="0" applyNumberFormat="1" applyFont="1" applyBorder="1" applyAlignment="1">
      <alignment horizontal="left" readingOrder="2"/>
    </xf>
    <xf numFmtId="5" fontId="30" fillId="0" borderId="54" xfId="1" applyNumberFormat="1" applyFont="1" applyBorder="1" applyAlignment="1"/>
    <xf numFmtId="5" fontId="30" fillId="0" borderId="52" xfId="1" applyNumberFormat="1" applyFont="1" applyBorder="1" applyAlignment="1"/>
    <xf numFmtId="10" fontId="13" fillId="3" borderId="0" xfId="4" applyNumberFormat="1" applyFont="1" applyFill="1" applyBorder="1" applyAlignment="1">
      <alignment horizontal="center"/>
    </xf>
    <xf numFmtId="10" fontId="0" fillId="0" borderId="0" xfId="4" applyNumberFormat="1" applyFont="1"/>
    <xf numFmtId="43" fontId="0" fillId="0" borderId="0" xfId="5" applyFont="1"/>
    <xf numFmtId="170" fontId="10" fillId="0" borderId="42" xfId="3" applyNumberFormat="1" applyFont="1" applyBorder="1" applyAlignment="1">
      <alignment horizontal="center" readingOrder="2"/>
    </xf>
    <xf numFmtId="171" fontId="10" fillId="0" borderId="41" xfId="3" applyNumberFormat="1" applyFont="1" applyBorder="1" applyAlignment="1">
      <alignment horizontal="right" readingOrder="2"/>
    </xf>
    <xf numFmtId="0" fontId="18" fillId="0" borderId="33" xfId="3" applyFont="1" applyBorder="1" applyAlignment="1">
      <alignment horizontal="center"/>
    </xf>
    <xf numFmtId="0" fontId="18" fillId="0" borderId="31" xfId="3" applyFont="1" applyBorder="1" applyAlignment="1">
      <alignment horizontal="right"/>
    </xf>
    <xf numFmtId="0" fontId="1" fillId="0" borderId="33" xfId="3" applyBorder="1"/>
    <xf numFmtId="0" fontId="18" fillId="0" borderId="34" xfId="3" applyFont="1" applyBorder="1" applyAlignment="1">
      <alignment horizontal="right" readingOrder="2"/>
    </xf>
    <xf numFmtId="0" fontId="18" fillId="0" borderId="33" xfId="3" applyFont="1" applyBorder="1" applyAlignment="1">
      <alignment horizontal="right" readingOrder="2"/>
    </xf>
    <xf numFmtId="0" fontId="18" fillId="3" borderId="33" xfId="3" applyFont="1" applyFill="1" applyBorder="1"/>
    <xf numFmtId="0" fontId="1" fillId="2" borderId="33" xfId="3" applyFill="1" applyBorder="1"/>
    <xf numFmtId="0" fontId="11" fillId="2" borderId="27" xfId="3" applyFont="1" applyFill="1" applyBorder="1" applyAlignment="1">
      <alignment horizontal="center"/>
    </xf>
    <xf numFmtId="0" fontId="11" fillId="3" borderId="40" xfId="3" applyFont="1" applyFill="1" applyBorder="1" applyAlignment="1">
      <alignment horizontal="center"/>
    </xf>
    <xf numFmtId="0" fontId="11" fillId="3" borderId="39" xfId="3" applyFont="1" applyFill="1" applyBorder="1" applyAlignment="1">
      <alignment horizontal="center"/>
    </xf>
    <xf numFmtId="0" fontId="11" fillId="2" borderId="0" xfId="3" applyFont="1" applyFill="1" applyAlignment="1">
      <alignment horizontal="center"/>
    </xf>
    <xf numFmtId="5" fontId="10" fillId="0" borderId="19" xfId="3" applyNumberFormat="1" applyFont="1" applyBorder="1" applyAlignment="1">
      <alignment horizontal="center"/>
    </xf>
    <xf numFmtId="9" fontId="15" fillId="0" borderId="34" xfId="4" applyFont="1" applyFill="1" applyBorder="1" applyAlignment="1">
      <alignment horizontal="center"/>
    </xf>
    <xf numFmtId="9" fontId="0" fillId="2" borderId="34" xfId="4" applyFont="1" applyFill="1" applyBorder="1" applyAlignment="1">
      <alignment horizontal="center"/>
    </xf>
    <xf numFmtId="169" fontId="13" fillId="0" borderId="6" xfId="4" applyNumberFormat="1" applyFont="1" applyFill="1" applyBorder="1" applyAlignment="1">
      <alignment horizontal="center"/>
    </xf>
    <xf numFmtId="169" fontId="13" fillId="0" borderId="7" xfId="4" applyNumberFormat="1" applyFont="1" applyFill="1" applyBorder="1" applyAlignment="1">
      <alignment horizontal="center"/>
    </xf>
    <xf numFmtId="169" fontId="13" fillId="0" borderId="0" xfId="4" applyNumberFormat="1" applyFont="1" applyFill="1" applyBorder="1" applyAlignment="1">
      <alignment horizontal="center"/>
    </xf>
    <xf numFmtId="169" fontId="13" fillId="3" borderId="6" xfId="4" applyNumberFormat="1" applyFont="1" applyFill="1" applyBorder="1" applyAlignment="1">
      <alignment horizontal="center"/>
    </xf>
    <xf numFmtId="9" fontId="0" fillId="0" borderId="0" xfId="4" applyFont="1" applyFill="1" applyBorder="1"/>
    <xf numFmtId="0" fontId="1" fillId="0" borderId="12" xfId="3" applyBorder="1"/>
    <xf numFmtId="0" fontId="1" fillId="0" borderId="12" xfId="3" applyBorder="1" applyAlignment="1">
      <alignment horizontal="center"/>
    </xf>
    <xf numFmtId="9" fontId="0" fillId="0" borderId="12" xfId="4" applyFont="1" applyBorder="1"/>
    <xf numFmtId="176" fontId="1" fillId="0" borderId="12" xfId="3" applyNumberFormat="1" applyBorder="1"/>
    <xf numFmtId="9" fontId="13" fillId="3" borderId="31" xfId="4" applyFont="1" applyFill="1" applyBorder="1" applyAlignment="1">
      <alignment horizontal="center"/>
    </xf>
    <xf numFmtId="10" fontId="0" fillId="2" borderId="47" xfId="4" applyNumberFormat="1" applyFont="1" applyFill="1" applyBorder="1" applyAlignment="1">
      <alignment horizontal="center"/>
    </xf>
    <xf numFmtId="10" fontId="27" fillId="2" borderId="33" xfId="4" applyNumberFormat="1" applyFont="1" applyFill="1" applyBorder="1" applyAlignment="1">
      <alignment horizontal="center"/>
    </xf>
    <xf numFmtId="9" fontId="13" fillId="0" borderId="53" xfId="4" applyFont="1" applyFill="1" applyBorder="1" applyAlignment="1">
      <alignment horizontal="center"/>
    </xf>
    <xf numFmtId="176" fontId="0" fillId="0" borderId="0" xfId="1" applyNumberFormat="1" applyFont="1"/>
    <xf numFmtId="43" fontId="0" fillId="0" borderId="0" xfId="1" applyNumberFormat="1" applyFont="1"/>
  </cellXfs>
  <cellStyles count="6">
    <cellStyle name="Comma" xfId="1" builtinId="3"/>
    <cellStyle name="Comma 2" xfId="5" xr:uid="{68657B2C-F698-48DC-A1D6-92742876AE4A}"/>
    <cellStyle name="Normal" xfId="0" builtinId="0"/>
    <cellStyle name="Normal 2" xfId="3" xr:uid="{BCB68027-4161-4C3C-B1BF-9F3812822102}"/>
    <cellStyle name="Percent" xfId="2" builtinId="5"/>
    <cellStyle name="Percent 2" xfId="4" xr:uid="{2F0CAA45-CEE5-4A13-8D91-818145CD8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j-cs"/>
              </a:defRPr>
            </a:pPr>
            <a:r>
              <a:rPr lang="he-IL" sz="1800" baseline="0">
                <a:cs typeface="+mj-cs"/>
              </a:rPr>
              <a:t>השוואת אחוז קצבה לשנה </a:t>
            </a:r>
          </a:p>
          <a:p>
            <a:pPr>
              <a:defRPr sz="1800">
                <a:cs typeface="+mj-cs"/>
              </a:defRPr>
            </a:pPr>
            <a:endParaRPr lang="he-IL" sz="1800">
              <a:cs typeface="+mj-cs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j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6.5610479197240723E-2"/>
          <c:y val="0.33080083449725911"/>
          <c:w val="0.83660253264199458"/>
          <c:h val="0.5203940078650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גרפים!$B$1</c:f>
              <c:strCache>
                <c:ptCount val="1"/>
                <c:pt idx="0">
                  <c:v>חוזה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גרפים!$A$2:$A$14</c:f>
              <c:numCache>
                <c:formatCode>_(* #,##0.00_);_(* \(#,##0.00\);_(* "-"??_);_(@_)</c:formatCode>
                <c:ptCount val="13"/>
                <c:pt idx="0" formatCode="_ * #,##0_ ;_ * \-#,##0_ ;_ * &quot;-&quot;??_ ;_ @_ ">
                  <c:v>35</c:v>
                </c:pt>
                <c:pt idx="1">
                  <c:v>35.33</c:v>
                </c:pt>
                <c:pt idx="2" formatCode="_ * #,##0_ ;_ * \-#,##0_ ;_ * &quot;-&quot;??_ ;_ @_ ">
                  <c:v>36.33</c:v>
                </c:pt>
                <c:pt idx="3" formatCode="_ * #,##0_ ;_ * \-#,##0_ ;_ * &quot;-&quot;??_ ;_ @_ ">
                  <c:v>37.33</c:v>
                </c:pt>
                <c:pt idx="4" formatCode="_ * #,##0_ ;_ * \-#,##0_ ;_ * &quot;-&quot;??_ ;_ @_ ">
                  <c:v>38.33</c:v>
                </c:pt>
                <c:pt idx="5" formatCode="_ * #,##0_ ;_ * \-#,##0_ ;_ * &quot;-&quot;??_ ;_ @_ ">
                  <c:v>39.33</c:v>
                </c:pt>
                <c:pt idx="6" formatCode="_ * #,##0_ ;_ * \-#,##0_ ;_ * &quot;-&quot;??_ ;_ @_ ">
                  <c:v>40.33</c:v>
                </c:pt>
                <c:pt idx="7" formatCode="_ * #,##0_ ;_ * \-#,##0_ ;_ * &quot;-&quot;??_ ;_ @_ ">
                  <c:v>41.33</c:v>
                </c:pt>
                <c:pt idx="8" formatCode="_ * #,##0_ ;_ * \-#,##0_ ;_ * &quot;-&quot;??_ ;_ @_ ">
                  <c:v>41.66</c:v>
                </c:pt>
                <c:pt idx="9">
                  <c:v>42.66</c:v>
                </c:pt>
                <c:pt idx="10" formatCode="_ * #,##0_ ;_ * \-#,##0_ ;_ * &quot;-&quot;??_ ;_ @_ ">
                  <c:v>45</c:v>
                </c:pt>
                <c:pt idx="11" formatCode="_ * #,##0_ ;_ * \-#,##0_ ;_ * &quot;-&quot;??_ ;_ @_ ">
                  <c:v>46</c:v>
                </c:pt>
                <c:pt idx="12" formatCode="_ * #,##0_ ;_ * \-#,##0_ ;_ * &quot;-&quot;??_ ;_ @_ ">
                  <c:v>49</c:v>
                </c:pt>
              </c:numCache>
            </c:numRef>
          </c:cat>
          <c:val>
            <c:numRef>
              <c:f>גרפים!$B$2:$B$14</c:f>
              <c:numCache>
                <c:formatCode>0.00%</c:formatCode>
                <c:ptCount val="13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D-4140-8B55-36A4073A3DC3}"/>
            </c:ext>
          </c:extLst>
        </c:ser>
        <c:ser>
          <c:idx val="1"/>
          <c:order val="1"/>
          <c:tx>
            <c:strRef>
              <c:f>גרפים!$C$1</c:f>
              <c:strCache>
                <c:ptCount val="1"/>
                <c:pt idx="0">
                  <c:v>נוסחת נש"מ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1_Migdal_RagSans" pitchFamily="2" charset="-79"/>
                      <a:ea typeface="+mn-ea"/>
                      <a:cs typeface="+mj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E3D-4140-8B55-36A4073A3DC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1_Migdal_RagSans" pitchFamily="2" charset="-79"/>
                      <a:ea typeface="+mn-ea"/>
                      <a:cs typeface="+mj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E3D-4140-8B55-36A4073A3DC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1_Migdal_RagSans" pitchFamily="2" charset="-79"/>
                      <a:ea typeface="+mn-ea"/>
                      <a:cs typeface="+mj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E3D-4140-8B55-36A4073A3DC3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FF0000"/>
                      </a:solidFill>
                      <a:latin typeface="1_Migdal_RagSans" pitchFamily="2" charset="-79"/>
                      <a:ea typeface="+mn-ea"/>
                      <a:cs typeface="+mj-cs"/>
                    </a:defRPr>
                  </a:pPr>
                  <a:endParaRPr lang="he-I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E3D-4140-8B55-36A4073A3D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1_Migdal_RagSans" pitchFamily="2" charset="-79"/>
                    <a:ea typeface="+mn-ea"/>
                    <a:cs typeface="+mj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גרפים!$A$2:$A$14</c:f>
              <c:numCache>
                <c:formatCode>_(* #,##0.00_);_(* \(#,##0.00\);_(* "-"??_);_(@_)</c:formatCode>
                <c:ptCount val="13"/>
                <c:pt idx="0" formatCode="_ * #,##0_ ;_ * \-#,##0_ ;_ * &quot;-&quot;??_ ;_ @_ ">
                  <c:v>35</c:v>
                </c:pt>
                <c:pt idx="1">
                  <c:v>35.33</c:v>
                </c:pt>
                <c:pt idx="2" formatCode="_ * #,##0_ ;_ * \-#,##0_ ;_ * &quot;-&quot;??_ ;_ @_ ">
                  <c:v>36.33</c:v>
                </c:pt>
                <c:pt idx="3" formatCode="_ * #,##0_ ;_ * \-#,##0_ ;_ * &quot;-&quot;??_ ;_ @_ ">
                  <c:v>37.33</c:v>
                </c:pt>
                <c:pt idx="4" formatCode="_ * #,##0_ ;_ * \-#,##0_ ;_ * &quot;-&quot;??_ ;_ @_ ">
                  <c:v>38.33</c:v>
                </c:pt>
                <c:pt idx="5" formatCode="_ * #,##0_ ;_ * \-#,##0_ ;_ * &quot;-&quot;??_ ;_ @_ ">
                  <c:v>39.33</c:v>
                </c:pt>
                <c:pt idx="6" formatCode="_ * #,##0_ ;_ * \-#,##0_ ;_ * &quot;-&quot;??_ ;_ @_ ">
                  <c:v>40.33</c:v>
                </c:pt>
                <c:pt idx="7" formatCode="_ * #,##0_ ;_ * \-#,##0_ ;_ * &quot;-&quot;??_ ;_ @_ ">
                  <c:v>41.33</c:v>
                </c:pt>
                <c:pt idx="8" formatCode="_ * #,##0_ ;_ * \-#,##0_ ;_ * &quot;-&quot;??_ ;_ @_ ">
                  <c:v>41.66</c:v>
                </c:pt>
                <c:pt idx="9">
                  <c:v>42.66</c:v>
                </c:pt>
                <c:pt idx="10" formatCode="_ * #,##0_ ;_ * \-#,##0_ ;_ * &quot;-&quot;??_ ;_ @_ ">
                  <c:v>45</c:v>
                </c:pt>
                <c:pt idx="11" formatCode="_ * #,##0_ ;_ * \-#,##0_ ;_ * &quot;-&quot;??_ ;_ @_ ">
                  <c:v>46</c:v>
                </c:pt>
                <c:pt idx="12" formatCode="_ * #,##0_ ;_ * \-#,##0_ ;_ * &quot;-&quot;??_ ;_ @_ ">
                  <c:v>49</c:v>
                </c:pt>
              </c:numCache>
            </c:numRef>
          </c:cat>
          <c:val>
            <c:numRef>
              <c:f>גרפים!$C$2:$C$14</c:f>
              <c:numCache>
                <c:formatCode>0.00%</c:formatCode>
                <c:ptCount val="13"/>
                <c:pt idx="0">
                  <c:v>0.02</c:v>
                </c:pt>
                <c:pt idx="1">
                  <c:v>1.9813189923577699E-2</c:v>
                </c:pt>
                <c:pt idx="2">
                  <c:v>1.926782273603083E-2</c:v>
                </c:pt>
                <c:pt idx="3">
                  <c:v>1.875167425663006E-2</c:v>
                </c:pt>
                <c:pt idx="4">
                  <c:v>1.8262457605009132E-2</c:v>
                </c:pt>
                <c:pt idx="5">
                  <c:v>1.7798118484617344E-2</c:v>
                </c:pt>
                <c:pt idx="6">
                  <c:v>1.735680634763204E-2</c:v>
                </c:pt>
                <c:pt idx="7">
                  <c:v>1.6936849745947256E-2</c:v>
                </c:pt>
                <c:pt idx="8">
                  <c:v>1.6802688430148826E-2</c:v>
                </c:pt>
                <c:pt idx="9">
                  <c:v>1.6408813877168308E-2</c:v>
                </c:pt>
                <c:pt idx="10">
                  <c:v>1.5555555555555557E-2</c:v>
                </c:pt>
                <c:pt idx="11">
                  <c:v>1.5217391304347828E-2</c:v>
                </c:pt>
                <c:pt idx="12">
                  <c:v>1.4285714285714287E-2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D-4140-8B55-36A4073A3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43712"/>
        <c:axId val="212433632"/>
      </c:barChart>
      <c:catAx>
        <c:axId val="212443712"/>
        <c:scaling>
          <c:orientation val="minMax"/>
        </c:scaling>
        <c:delete val="0"/>
        <c:axPos val="b"/>
        <c:numFmt formatCode="_ * #,##0_ ;_ * \-#,##0_ ;_ * &quot;-&quot;??_ ;_ @_ 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12433632"/>
        <c:crosses val="autoZero"/>
        <c:auto val="1"/>
        <c:lblAlgn val="ctr"/>
        <c:lblOffset val="100"/>
        <c:noMultiLvlLbl val="0"/>
      </c:catAx>
      <c:valAx>
        <c:axId val="212433632"/>
        <c:scaling>
          <c:orientation val="minMax"/>
          <c:max val="2.0000000000000004E-2"/>
          <c:min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12443712"/>
        <c:crosses val="autoZero"/>
        <c:crossBetween val="between"/>
        <c:minorUnit val="2.0000000000000005E-3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362126313056184"/>
          <c:y val="0.11841095750422002"/>
          <c:w val="0.33007146838792706"/>
          <c:h val="9.2839532055740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j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14926</xdr:rowOff>
    </xdr:from>
    <xdr:to>
      <xdr:col>4</xdr:col>
      <xdr:colOff>1333947</xdr:colOff>
      <xdr:row>40</xdr:row>
      <xdr:rowOff>25011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34DCE641-3E13-47A1-AB47-A71892E16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0.00551</cdr:x>
      <cdr:y>0.10714</cdr:y>
    </cdr:from>
    <cdr:to>
      <cdr:x>0.07725</cdr:x>
      <cdr:y>0.2658</cdr:y>
    </cdr:to>
    <cdr:sp macro="" textlink="">
      <cdr:nvSpPr>
        <cdr:cNvPr id="2" name="מלבן 1">
          <a:extLst xmlns:a="http://schemas.openxmlformats.org/drawingml/2006/main">
            <a:ext uri="{FF2B5EF4-FFF2-40B4-BE49-F238E27FC236}">
              <a16:creationId xmlns:a16="http://schemas.microsoft.com/office/drawing/2014/main" id="{FFFE150E-36A3-5511-C58A-DA97305CA609}"/>
            </a:ext>
          </a:extLst>
        </cdr:cNvPr>
        <cdr:cNvSpPr/>
      </cdr:nvSpPr>
      <cdr:spPr>
        <a:xfrm xmlns:a="http://schemas.openxmlformats.org/drawingml/2006/main">
          <a:off x="60242" y="406774"/>
          <a:ext cx="784703" cy="6024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e-IL" b="1" kern="1200"/>
            <a:t>אחוז</a:t>
          </a:r>
          <a:r>
            <a:rPr lang="he-IL" b="1" kern="1200" baseline="0"/>
            <a:t> פנסיה </a:t>
          </a:r>
        </a:p>
        <a:p xmlns:a="http://schemas.openxmlformats.org/drawingml/2006/main">
          <a:pPr algn="ctr"/>
          <a:r>
            <a:rPr lang="he-IL" b="1" kern="1200" baseline="0"/>
            <a:t>לשנה  </a:t>
          </a:r>
          <a:endParaRPr lang="he-IL" b="1" kern="1200"/>
        </a:p>
      </cdr:txBody>
    </cdr:sp>
  </cdr:relSizeAnchor>
  <cdr:relSizeAnchor xmlns:cdr="http://schemas.openxmlformats.org/drawingml/2006/chartDrawing">
    <cdr:from>
      <cdr:x>0.89501</cdr:x>
      <cdr:y>0.84133</cdr:y>
    </cdr:from>
    <cdr:to>
      <cdr:x>1</cdr:x>
      <cdr:y>1</cdr:y>
    </cdr:to>
    <cdr:sp macro="" textlink="">
      <cdr:nvSpPr>
        <cdr:cNvPr id="3" name="מלבן 2">
          <a:extLst xmlns:a="http://schemas.openxmlformats.org/drawingml/2006/main">
            <a:ext uri="{FF2B5EF4-FFF2-40B4-BE49-F238E27FC236}">
              <a16:creationId xmlns:a16="http://schemas.microsoft.com/office/drawing/2014/main" id="{00790DF3-D6FA-BD9F-2735-F0A99F764EBA}"/>
            </a:ext>
          </a:extLst>
        </cdr:cNvPr>
        <cdr:cNvSpPr/>
      </cdr:nvSpPr>
      <cdr:spPr>
        <a:xfrm xmlns:a="http://schemas.openxmlformats.org/drawingml/2006/main">
          <a:off x="8950363" y="3194350"/>
          <a:ext cx="1049945" cy="60242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e-IL" b="1" kern="1200"/>
            <a:t>סה"כ</a:t>
          </a:r>
          <a:r>
            <a:rPr lang="he-IL" b="1" kern="1200" baseline="0"/>
            <a:t> שנות שירות</a:t>
          </a:r>
          <a:endParaRPr lang="he-IL" b="1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513;&#1502;&#1506;&#1493;&#1503;\Downloads\&#1506;&#1493;&#1514;&#1511;%20&#1513;&#1500;%20&#1489;&#1491;&#1497;&#1511;&#1492;%20&#1500;&#1488;&#1489;&#1488;.xlsx" TargetMode="External"/><Relationship Id="rId1" Type="http://schemas.openxmlformats.org/officeDocument/2006/relationships/externalLinkPath" Target="/Users/&#1513;&#1502;&#1506;&#1493;&#1503;/Downloads/&#1506;&#1493;&#1514;&#1511;%20&#1513;&#1500;%20&#1489;&#1491;&#1497;&#1511;&#1492;%20&#1500;&#1488;&#1489;&#1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פנסיה תקציבית - השוואה  (2)"/>
    </sheetNames>
    <sheetDataSet>
      <sheetData sheetId="0">
        <row r="1">
          <cell r="B1" t="str">
            <v>חוזה</v>
          </cell>
          <cell r="C1" t="str">
            <v>נוסחת נש"מ</v>
          </cell>
        </row>
        <row r="2">
          <cell r="A2">
            <v>35</v>
          </cell>
          <cell r="B2">
            <v>0.02</v>
          </cell>
          <cell r="C2">
            <v>0.02</v>
          </cell>
        </row>
        <row r="3">
          <cell r="A3">
            <v>35.33</v>
          </cell>
          <cell r="B3">
            <v>0.02</v>
          </cell>
          <cell r="C3">
            <v>0.02</v>
          </cell>
        </row>
        <row r="4">
          <cell r="A4">
            <v>36</v>
          </cell>
          <cell r="B4">
            <v>0.02</v>
          </cell>
          <cell r="C4">
            <v>0.02</v>
          </cell>
        </row>
        <row r="5">
          <cell r="A5">
            <v>37</v>
          </cell>
          <cell r="B5">
            <v>0.02</v>
          </cell>
          <cell r="C5">
            <v>1.8499999999999999E-2</v>
          </cell>
        </row>
        <row r="6">
          <cell r="A6">
            <v>40</v>
          </cell>
          <cell r="B6">
            <v>0.02</v>
          </cell>
          <cell r="C6">
            <v>1.7500000000000002E-2</v>
          </cell>
        </row>
        <row r="7">
          <cell r="A7">
            <v>40.659999999999997</v>
          </cell>
          <cell r="B7">
            <v>0.02</v>
          </cell>
          <cell r="C7">
            <v>1.7500000000000002E-2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B899-3A6E-4D76-88A1-D71E86F2F2B4}">
  <sheetPr codeName="גיליון7"/>
  <dimension ref="A1:AY40"/>
  <sheetViews>
    <sheetView rightToLeft="1" topLeftCell="A16" zoomScale="118" workbookViewId="0">
      <selection activeCell="B16" sqref="B16:B33"/>
    </sheetView>
  </sheetViews>
  <sheetFormatPr defaultRowHeight="13.85" x14ac:dyDescent="0.25"/>
  <cols>
    <col min="1" max="1" width="10.5546875" style="154" customWidth="1"/>
    <col min="2" max="2" width="10.88671875" style="154" customWidth="1"/>
    <col min="3" max="3" width="9.33203125" style="154" customWidth="1"/>
    <col min="4" max="4" width="1.6640625" style="154" customWidth="1"/>
    <col min="5" max="5" width="10.21875" style="155" customWidth="1"/>
    <col min="6" max="8" width="11.5546875" style="154" customWidth="1"/>
    <col min="9" max="9" width="1.5546875" style="154" customWidth="1"/>
    <col min="10" max="10" width="10.77734375" style="154" customWidth="1"/>
    <col min="11" max="11" width="10.109375" style="154" customWidth="1"/>
    <col min="12" max="12" width="2.21875" style="154" customWidth="1"/>
    <col min="13" max="14" width="12.6640625" style="154" customWidth="1"/>
    <col min="15" max="15" width="1.5546875" style="154" customWidth="1"/>
    <col min="16" max="16" width="9.6640625" style="154" customWidth="1"/>
    <col min="17" max="17" width="10.33203125" style="154" customWidth="1"/>
    <col min="18" max="18" width="1.5546875" style="154" customWidth="1"/>
    <col min="19" max="20" width="12.88671875" style="154" customWidth="1"/>
    <col min="21" max="21" width="1.88671875" style="154" customWidth="1"/>
    <col min="22" max="22" width="10.21875" style="154" customWidth="1"/>
    <col min="23" max="23" width="10" style="154" customWidth="1"/>
    <col min="24" max="24" width="4.109375" style="154" customWidth="1"/>
    <col min="25" max="25" width="8.109375" style="154" customWidth="1"/>
    <col min="26" max="26" width="12.77734375" style="154" customWidth="1"/>
    <col min="27" max="27" width="10.77734375" style="154" customWidth="1"/>
    <col min="28" max="28" width="12.44140625" style="154" customWidth="1"/>
    <col min="29" max="33" width="8.88671875" style="154"/>
    <col min="34" max="36" width="9.109375" style="154" customWidth="1"/>
    <col min="37" max="37" width="8.88671875" style="154"/>
    <col min="38" max="42" width="10.77734375" style="154" customWidth="1"/>
    <col min="43" max="43" width="12" style="154" customWidth="1"/>
    <col min="44" max="44" width="11" style="154" customWidth="1"/>
    <col min="45" max="45" width="9.6640625" style="154" customWidth="1"/>
    <col min="46" max="46" width="10.5546875" style="154" customWidth="1"/>
    <col min="47" max="49" width="8.88671875" style="154"/>
    <col min="50" max="50" width="11.77734375" style="154" bestFit="1" customWidth="1"/>
    <col min="51" max="16384" width="8.88671875" style="154"/>
  </cols>
  <sheetData>
    <row r="1" spans="1:51" ht="17.850000000000001" x14ac:dyDescent="0.35">
      <c r="B1" s="156" t="s">
        <v>39</v>
      </c>
      <c r="G1" s="460">
        <v>0.02</v>
      </c>
      <c r="H1" s="461">
        <v>35</v>
      </c>
      <c r="J1" s="156" t="s">
        <v>129</v>
      </c>
      <c r="K1" s="156"/>
      <c r="L1" s="156"/>
    </row>
    <row r="2" spans="1:51" ht="18.45" thickBot="1" x14ac:dyDescent="0.4">
      <c r="B2" s="156" t="s">
        <v>20</v>
      </c>
      <c r="G2" s="155"/>
      <c r="K2" s="156" t="s">
        <v>130</v>
      </c>
      <c r="P2" s="156" t="s">
        <v>131</v>
      </c>
      <c r="Q2" s="156"/>
      <c r="R2" s="156"/>
      <c r="S2" s="156"/>
      <c r="T2" s="156"/>
      <c r="U2" s="156"/>
      <c r="V2" s="156" t="s">
        <v>45</v>
      </c>
      <c r="W2" s="156"/>
      <c r="X2" s="156"/>
    </row>
    <row r="3" spans="1:51" ht="18.45" thickBot="1" x14ac:dyDescent="0.4">
      <c r="B3" s="158" t="s">
        <v>46</v>
      </c>
      <c r="C3" s="462"/>
      <c r="D3" s="156"/>
      <c r="E3" s="463" t="s">
        <v>47</v>
      </c>
      <c r="F3" s="464"/>
      <c r="G3" s="465" t="s">
        <v>48</v>
      </c>
      <c r="H3" s="466"/>
      <c r="J3" s="178" t="s">
        <v>49</v>
      </c>
      <c r="K3" s="467"/>
      <c r="L3" s="156"/>
      <c r="M3" s="181" t="s">
        <v>50</v>
      </c>
      <c r="N3" s="468"/>
      <c r="O3" s="156"/>
      <c r="P3" s="178" t="s">
        <v>49</v>
      </c>
      <c r="Q3" s="179"/>
      <c r="R3" s="180"/>
      <c r="S3" s="181" t="s">
        <v>50</v>
      </c>
      <c r="T3" s="182"/>
      <c r="U3" s="163"/>
      <c r="V3" s="163"/>
      <c r="W3" s="163"/>
      <c r="X3" s="163"/>
      <c r="Y3" s="158"/>
      <c r="Z3" s="184"/>
      <c r="AA3" s="185" t="s">
        <v>54</v>
      </c>
      <c r="AB3" s="167"/>
      <c r="AH3" s="156"/>
    </row>
    <row r="4" spans="1:51" ht="14.4" thickBot="1" x14ac:dyDescent="0.3">
      <c r="A4" s="154" t="s">
        <v>20</v>
      </c>
      <c r="B4" s="186">
        <v>1</v>
      </c>
      <c r="C4" s="187">
        <v>2</v>
      </c>
      <c r="D4" s="188"/>
      <c r="E4" s="189">
        <v>3</v>
      </c>
      <c r="F4" s="190">
        <v>4</v>
      </c>
      <c r="G4" s="191">
        <v>5</v>
      </c>
      <c r="H4" s="192">
        <v>6</v>
      </c>
      <c r="I4" s="188"/>
      <c r="J4" s="193">
        <v>5</v>
      </c>
      <c r="K4" s="194">
        <v>6</v>
      </c>
      <c r="L4" s="188"/>
      <c r="M4" s="195">
        <v>7</v>
      </c>
      <c r="N4" s="469">
        <v>8</v>
      </c>
      <c r="O4" s="188"/>
      <c r="P4" s="470">
        <v>9</v>
      </c>
      <c r="Q4" s="471">
        <v>10</v>
      </c>
      <c r="R4" s="188"/>
      <c r="S4" s="259">
        <v>11</v>
      </c>
      <c r="T4" s="472">
        <v>12</v>
      </c>
      <c r="U4" s="188"/>
      <c r="V4" s="188"/>
      <c r="W4" s="188"/>
      <c r="X4" s="188"/>
      <c r="Y4" s="201">
        <v>7</v>
      </c>
      <c r="Z4" s="193">
        <v>8</v>
      </c>
      <c r="AA4" s="193">
        <v>9</v>
      </c>
      <c r="AB4" s="202">
        <v>10</v>
      </c>
      <c r="AI4" s="188"/>
    </row>
    <row r="5" spans="1:51" x14ac:dyDescent="0.25">
      <c r="B5" s="203" t="s">
        <v>23</v>
      </c>
      <c r="C5" s="204" t="s">
        <v>55</v>
      </c>
      <c r="D5" s="205"/>
      <c r="E5" s="206" t="s">
        <v>56</v>
      </c>
      <c r="F5" s="207" t="s">
        <v>57</v>
      </c>
      <c r="G5" s="208" t="s">
        <v>57</v>
      </c>
      <c r="H5" s="209" t="s">
        <v>58</v>
      </c>
      <c r="I5" s="210"/>
      <c r="J5" s="211" t="s">
        <v>59</v>
      </c>
      <c r="K5" s="212" t="s">
        <v>60</v>
      </c>
      <c r="L5" s="213"/>
      <c r="M5" s="214" t="s">
        <v>61</v>
      </c>
      <c r="N5" s="215" t="s">
        <v>55</v>
      </c>
      <c r="O5" s="216"/>
      <c r="P5" s="217" t="s">
        <v>62</v>
      </c>
      <c r="Q5" s="212" t="s">
        <v>60</v>
      </c>
      <c r="R5" s="216"/>
      <c r="S5" s="218" t="s">
        <v>63</v>
      </c>
      <c r="T5" s="215" t="s">
        <v>55</v>
      </c>
      <c r="U5" s="200"/>
      <c r="V5" s="200"/>
      <c r="W5" s="200"/>
      <c r="X5" s="200"/>
      <c r="Y5" s="221" t="s">
        <v>65</v>
      </c>
      <c r="Z5" s="222"/>
      <c r="AA5" s="223" t="s">
        <v>66</v>
      </c>
      <c r="AB5" s="224" t="s">
        <v>67</v>
      </c>
      <c r="AL5" s="154" t="s">
        <v>68</v>
      </c>
      <c r="AM5" s="210" t="s">
        <v>69</v>
      </c>
      <c r="AN5" s="154" t="s">
        <v>23</v>
      </c>
      <c r="AP5" s="225" t="s">
        <v>70</v>
      </c>
      <c r="AQ5" s="154" t="s">
        <v>71</v>
      </c>
      <c r="AR5" s="154" t="s">
        <v>15</v>
      </c>
      <c r="AS5" s="154" t="s">
        <v>72</v>
      </c>
      <c r="AT5" s="226" t="s">
        <v>73</v>
      </c>
      <c r="AV5" s="154" t="s">
        <v>72</v>
      </c>
      <c r="AW5" s="154" t="s">
        <v>10</v>
      </c>
      <c r="AX5" s="154" t="s">
        <v>5</v>
      </c>
      <c r="AY5" s="154" t="s">
        <v>23</v>
      </c>
    </row>
    <row r="6" spans="1:51" x14ac:dyDescent="0.25">
      <c r="B6" s="227" t="s">
        <v>74</v>
      </c>
      <c r="C6" s="228" t="s">
        <v>75</v>
      </c>
      <c r="D6" s="220"/>
      <c r="E6" s="229" t="s">
        <v>76</v>
      </c>
      <c r="F6" s="230" t="s">
        <v>77</v>
      </c>
      <c r="G6" s="231" t="s">
        <v>78</v>
      </c>
      <c r="H6" s="232" t="s">
        <v>79</v>
      </c>
      <c r="I6" s="210"/>
      <c r="J6" s="233" t="s">
        <v>80</v>
      </c>
      <c r="K6" s="234" t="s">
        <v>81</v>
      </c>
      <c r="L6" s="220"/>
      <c r="M6" s="235" t="s">
        <v>82</v>
      </c>
      <c r="N6" s="236" t="s">
        <v>81</v>
      </c>
      <c r="O6" s="237"/>
      <c r="P6" s="238" t="s">
        <v>83</v>
      </c>
      <c r="Q6" s="234" t="s">
        <v>81</v>
      </c>
      <c r="R6" s="237"/>
      <c r="S6" s="239" t="s">
        <v>21</v>
      </c>
      <c r="T6" s="236" t="s">
        <v>81</v>
      </c>
      <c r="U6" s="220"/>
      <c r="V6" s="220"/>
      <c r="W6" s="220"/>
      <c r="X6" s="220"/>
      <c r="Y6" s="241" t="s">
        <v>84</v>
      </c>
      <c r="Z6" s="242"/>
      <c r="AA6" s="155" t="s">
        <v>85</v>
      </c>
      <c r="AB6" s="243" t="s">
        <v>86</v>
      </c>
      <c r="AH6" s="244"/>
      <c r="AI6" s="225"/>
      <c r="AL6" s="245">
        <v>10000</v>
      </c>
      <c r="AM6" s="245" t="s">
        <v>87</v>
      </c>
      <c r="AN6" s="188" t="s">
        <v>2</v>
      </c>
      <c r="AP6" s="246" t="s">
        <v>88</v>
      </c>
      <c r="AQ6" s="246" t="s">
        <v>82</v>
      </c>
      <c r="AY6" s="225">
        <v>0.02</v>
      </c>
    </row>
    <row r="7" spans="1:51" x14ac:dyDescent="0.25">
      <c r="B7" s="247">
        <v>20.329999999999998</v>
      </c>
      <c r="C7" s="248">
        <v>0.02</v>
      </c>
      <c r="D7" s="220"/>
      <c r="E7" s="473">
        <v>34000</v>
      </c>
      <c r="F7" s="249" t="s">
        <v>87</v>
      </c>
      <c r="G7" s="250" t="s">
        <v>87</v>
      </c>
      <c r="H7" s="251" t="s">
        <v>89</v>
      </c>
      <c r="I7" s="245"/>
      <c r="J7" s="252">
        <v>0.02</v>
      </c>
      <c r="K7" s="253" t="s">
        <v>90</v>
      </c>
      <c r="L7" s="254"/>
      <c r="M7" s="255" t="s">
        <v>91</v>
      </c>
      <c r="N7" s="256" t="s">
        <v>90</v>
      </c>
      <c r="O7" s="188"/>
      <c r="P7" s="257">
        <v>0.02</v>
      </c>
      <c r="Q7" s="253" t="s">
        <v>90</v>
      </c>
      <c r="R7" s="258"/>
      <c r="S7" s="259" t="s">
        <v>91</v>
      </c>
      <c r="T7" s="256" t="s">
        <v>90</v>
      </c>
      <c r="U7" s="254"/>
      <c r="V7" s="254"/>
      <c r="W7" s="254"/>
      <c r="X7" s="254"/>
      <c r="Y7" s="201" t="s">
        <v>94</v>
      </c>
      <c r="Z7" s="191" t="s">
        <v>91</v>
      </c>
      <c r="AA7" s="246" t="s">
        <v>95</v>
      </c>
      <c r="AB7" s="262" t="s">
        <v>96</v>
      </c>
      <c r="AH7" s="244"/>
      <c r="AI7" s="244"/>
      <c r="AL7" s="245"/>
      <c r="AM7" s="245"/>
      <c r="AN7" s="188"/>
      <c r="AP7" s="246"/>
      <c r="AQ7" s="246"/>
      <c r="AY7" s="225"/>
    </row>
    <row r="8" spans="1:51" x14ac:dyDescent="0.25">
      <c r="B8" s="247" t="s">
        <v>97</v>
      </c>
      <c r="C8" s="263">
        <v>0.7</v>
      </c>
      <c r="D8" s="264"/>
      <c r="E8" s="265"/>
      <c r="F8" s="266" t="s">
        <v>98</v>
      </c>
      <c r="G8" s="267" t="s">
        <v>99</v>
      </c>
      <c r="H8" s="268" t="s">
        <v>100</v>
      </c>
      <c r="I8" s="269"/>
      <c r="J8" s="270" t="s">
        <v>101</v>
      </c>
      <c r="K8" s="266" t="s">
        <v>102</v>
      </c>
      <c r="L8" s="271"/>
      <c r="M8" s="272" t="s">
        <v>103</v>
      </c>
      <c r="N8" s="273" t="s">
        <v>104</v>
      </c>
      <c r="O8" s="273"/>
      <c r="P8" s="273" t="s">
        <v>105</v>
      </c>
      <c r="Q8" s="273" t="s">
        <v>106</v>
      </c>
      <c r="R8" s="271"/>
      <c r="S8" s="266" t="s">
        <v>103</v>
      </c>
      <c r="T8" s="271"/>
      <c r="U8" s="271"/>
      <c r="V8" s="271"/>
      <c r="W8" s="271"/>
      <c r="X8" s="271"/>
      <c r="Y8" s="274" t="s">
        <v>107</v>
      </c>
      <c r="Z8" s="275" t="s">
        <v>108</v>
      </c>
      <c r="AA8" s="271" t="s">
        <v>109</v>
      </c>
      <c r="AB8" s="275" t="s">
        <v>110</v>
      </c>
      <c r="AH8" s="276"/>
      <c r="AI8" s="244"/>
      <c r="AL8" s="277">
        <v>20.329999999999998</v>
      </c>
      <c r="AM8" s="245"/>
      <c r="AN8" s="188"/>
      <c r="AP8" s="246"/>
      <c r="AQ8" s="246"/>
      <c r="AY8" s="225"/>
    </row>
    <row r="9" spans="1:51" x14ac:dyDescent="0.25">
      <c r="B9" s="203">
        <v>20.329999999999998</v>
      </c>
      <c r="C9" s="278">
        <f>IF(B9&lt;$H$1,B9*$C$7,(B9-(B9-$H$1))*$C$7)</f>
        <v>0.40659999999999996</v>
      </c>
      <c r="D9" s="264"/>
      <c r="E9" s="279">
        <f t="shared" ref="E9:E37" si="0">IF(B9&gt;$B$7,B9-$B$7,0)</f>
        <v>0</v>
      </c>
      <c r="F9" s="280">
        <f t="shared" ref="F9:F16" si="1">E9/B9</f>
        <v>0</v>
      </c>
      <c r="G9" s="281">
        <f t="shared" ref="G9:G24" si="2">IF(E9&gt;0,$B$7/B9,100%)</f>
        <v>1</v>
      </c>
      <c r="H9" s="282">
        <f>G9+F9</f>
        <v>1</v>
      </c>
      <c r="I9" s="269"/>
      <c r="J9" s="283">
        <f t="shared" ref="J9:J37" si="3">E9*$J$7</f>
        <v>0</v>
      </c>
      <c r="K9" s="284">
        <f>IF(J9=0,0,J9/E9)</f>
        <v>0</v>
      </c>
      <c r="L9" s="285"/>
      <c r="M9" s="286">
        <f t="shared" ref="M9:M16" si="4">F9*C9</f>
        <v>0</v>
      </c>
      <c r="N9" s="287">
        <f t="shared" ref="N9:N15" si="5">IF(AND(B9&lt;$B$16,M9&gt;0),M9/E9,M9/($B$7*G9))</f>
        <v>0</v>
      </c>
      <c r="O9" s="288"/>
      <c r="P9" s="289">
        <f>IF(C9&lt;$C$8,$B$7*$C$7,$C$8-F9)</f>
        <v>0.40659999999999996</v>
      </c>
      <c r="Q9" s="290">
        <f t="shared" ref="Q9:Q37" si="6">P9/$B$7</f>
        <v>0.02</v>
      </c>
      <c r="R9" s="291"/>
      <c r="S9" s="292">
        <f t="shared" ref="S9:S16" si="7">C9*G9</f>
        <v>0.40659999999999996</v>
      </c>
      <c r="T9" s="293">
        <f t="shared" ref="T9:T37" si="8">S9/$B$7</f>
        <v>0.02</v>
      </c>
      <c r="U9" s="294"/>
      <c r="V9" s="298">
        <f>Q9*B9</f>
        <v>0.40659999999999996</v>
      </c>
      <c r="W9" s="293">
        <f>B9*T9</f>
        <v>0.40659999999999996</v>
      </c>
      <c r="X9" s="294"/>
      <c r="Y9" s="299" t="e">
        <f>J9/E9</f>
        <v>#DIV/0!</v>
      </c>
      <c r="Z9" s="299" t="e">
        <f>M9/E9</f>
        <v>#DIV/0!</v>
      </c>
      <c r="AA9" s="300">
        <f>J9-M9</f>
        <v>0</v>
      </c>
      <c r="AB9" s="301" t="e">
        <f t="shared" ref="AB9:AB16" si="9">((Z9/$C$7)-1)*-1</f>
        <v>#DIV/0!</v>
      </c>
      <c r="AH9" s="276"/>
      <c r="AI9" s="244"/>
      <c r="AL9" s="277"/>
      <c r="AM9" s="245"/>
      <c r="AN9" s="188"/>
      <c r="AP9" s="246"/>
      <c r="AQ9" s="246"/>
      <c r="AY9" s="225"/>
    </row>
    <row r="10" spans="1:51" x14ac:dyDescent="0.25">
      <c r="B10" s="203">
        <v>25.33</v>
      </c>
      <c r="C10" s="278">
        <f>IF(B10&lt;$H$1,B10*$C$7,(B10-(B10-$H$1))*$C$7)</f>
        <v>0.50659999999999994</v>
      </c>
      <c r="D10" s="264"/>
      <c r="E10" s="279">
        <f t="shared" si="0"/>
        <v>5</v>
      </c>
      <c r="F10" s="280">
        <f t="shared" si="1"/>
        <v>0.19739439399921044</v>
      </c>
      <c r="G10" s="281">
        <f t="shared" si="2"/>
        <v>0.80260560600078956</v>
      </c>
      <c r="H10" s="282">
        <f>G10+F10</f>
        <v>1</v>
      </c>
      <c r="I10" s="269"/>
      <c r="J10" s="283">
        <f t="shared" si="3"/>
        <v>0.1</v>
      </c>
      <c r="K10" s="284">
        <f>IF(J10=0,0,J10/E10)</f>
        <v>0.02</v>
      </c>
      <c r="L10" s="285"/>
      <c r="M10" s="286">
        <f>F10*C10</f>
        <v>9.9999999999999992E-2</v>
      </c>
      <c r="N10" s="287">
        <f t="shared" si="5"/>
        <v>1.9999999999999997E-2</v>
      </c>
      <c r="O10" s="288"/>
      <c r="P10" s="289">
        <f>IF(C10&lt;$C$8,$B$7*$C$7,$C$8-F10)</f>
        <v>0.40659999999999996</v>
      </c>
      <c r="Q10" s="290">
        <f t="shared" si="6"/>
        <v>0.02</v>
      </c>
      <c r="R10" s="291"/>
      <c r="S10" s="292">
        <f>C10*G10</f>
        <v>0.40659999999999996</v>
      </c>
      <c r="T10" s="293">
        <f t="shared" si="8"/>
        <v>0.02</v>
      </c>
      <c r="U10" s="294"/>
      <c r="V10" s="298">
        <f t="shared" ref="V10:V37" si="10">Q10*B10</f>
        <v>0.50659999999999994</v>
      </c>
      <c r="W10" s="293">
        <f t="shared" ref="W10:W13" si="11">B10*T10</f>
        <v>0.50659999999999994</v>
      </c>
      <c r="X10" s="294"/>
      <c r="Y10" s="299"/>
      <c r="Z10" s="299"/>
      <c r="AA10" s="300"/>
      <c r="AB10" s="301"/>
      <c r="AH10" s="276"/>
      <c r="AI10" s="244"/>
      <c r="AL10" s="277"/>
      <c r="AM10" s="245"/>
      <c r="AN10" s="188"/>
      <c r="AP10" s="246"/>
      <c r="AQ10" s="246"/>
      <c r="AY10" s="225"/>
    </row>
    <row r="11" spans="1:51" x14ac:dyDescent="0.25">
      <c r="B11" s="203">
        <v>30.33</v>
      </c>
      <c r="C11" s="278">
        <f t="shared" ref="C11:C17" si="12">IF(B11&lt;$B$16,B11*$C$7,(B11-(B11-$B$16))*$C$7)</f>
        <v>0.60660000000000003</v>
      </c>
      <c r="D11" s="288"/>
      <c r="E11" s="279">
        <f t="shared" si="0"/>
        <v>10</v>
      </c>
      <c r="F11" s="280">
        <f t="shared" si="1"/>
        <v>0.32970656116056712</v>
      </c>
      <c r="G11" s="281">
        <f t="shared" si="2"/>
        <v>0.67029343883943293</v>
      </c>
      <c r="H11" s="282">
        <f t="shared" ref="H11:H37" si="13">G11+F11</f>
        <v>1</v>
      </c>
      <c r="I11" s="285"/>
      <c r="J11" s="302">
        <f t="shared" si="3"/>
        <v>0.2</v>
      </c>
      <c r="K11" s="284">
        <f t="shared" ref="K11:K37" si="14">J11/E11</f>
        <v>0.02</v>
      </c>
      <c r="L11" s="285"/>
      <c r="M11" s="286">
        <f>F11*C11</f>
        <v>0.20000000000000004</v>
      </c>
      <c r="N11" s="287">
        <f t="shared" si="5"/>
        <v>2.0000000000000004E-2</v>
      </c>
      <c r="O11" s="288"/>
      <c r="P11" s="289">
        <f>IF(C11&lt;$C$8,$B$7*$C$7,$C$8-F11)</f>
        <v>0.40659999999999996</v>
      </c>
      <c r="Q11" s="290">
        <f t="shared" si="6"/>
        <v>0.02</v>
      </c>
      <c r="R11" s="291"/>
      <c r="S11" s="292">
        <f>C11*G11</f>
        <v>0.40660000000000002</v>
      </c>
      <c r="T11" s="293">
        <f t="shared" si="8"/>
        <v>2.0000000000000004E-2</v>
      </c>
      <c r="U11" s="294"/>
      <c r="V11" s="298">
        <f t="shared" si="10"/>
        <v>0.60660000000000003</v>
      </c>
      <c r="W11" s="293">
        <f t="shared" si="11"/>
        <v>0.60660000000000014</v>
      </c>
      <c r="X11" s="294"/>
      <c r="Y11" s="299">
        <f t="shared" ref="Y11:Y37" si="15">J11/E11</f>
        <v>0.02</v>
      </c>
      <c r="Z11" s="299">
        <f t="shared" ref="Z11:Z37" si="16">M11/E11</f>
        <v>2.0000000000000004E-2</v>
      </c>
      <c r="AA11" s="300">
        <f t="shared" ref="AA11:AA16" si="17">J11-M11</f>
        <v>0</v>
      </c>
      <c r="AB11" s="301">
        <f t="shared" si="9"/>
        <v>-2.2204460492503131E-16</v>
      </c>
      <c r="AH11" s="303"/>
      <c r="AI11" s="303"/>
      <c r="AL11" s="154">
        <v>20.329999999999998</v>
      </c>
      <c r="AM11" s="304">
        <f>AL11/B11</f>
        <v>0.67029343883943293</v>
      </c>
      <c r="AN11" s="155">
        <f>AR11+AP11</f>
        <v>0</v>
      </c>
      <c r="AP11" s="304"/>
      <c r="AQ11" s="305">
        <f xml:space="preserve"> $E$7*M11</f>
        <v>6800.0000000000009</v>
      </c>
      <c r="AS11" s="210">
        <f>E7*M11</f>
        <v>6800.0000000000009</v>
      </c>
      <c r="AV11" s="210">
        <f>AL6*AW11</f>
        <v>4065.9999999999995</v>
      </c>
      <c r="AW11" s="304">
        <f>AL11*$AY$6</f>
        <v>0.40659999999999996</v>
      </c>
      <c r="AY11" s="154">
        <v>30</v>
      </c>
    </row>
    <row r="12" spans="1:51" x14ac:dyDescent="0.25">
      <c r="B12" s="203">
        <f>B11+1</f>
        <v>31.33</v>
      </c>
      <c r="C12" s="278">
        <f t="shared" si="12"/>
        <v>0.62659999999999993</v>
      </c>
      <c r="D12" s="288"/>
      <c r="E12" s="279">
        <f t="shared" si="0"/>
        <v>11</v>
      </c>
      <c r="F12" s="280">
        <f t="shared" si="1"/>
        <v>0.35110118097669968</v>
      </c>
      <c r="G12" s="281">
        <f t="shared" si="2"/>
        <v>0.64889881902330038</v>
      </c>
      <c r="H12" s="282">
        <f t="shared" si="13"/>
        <v>1</v>
      </c>
      <c r="I12" s="285"/>
      <c r="J12" s="302">
        <f t="shared" si="3"/>
        <v>0.22</v>
      </c>
      <c r="K12" s="284">
        <f t="shared" si="14"/>
        <v>0.02</v>
      </c>
      <c r="L12" s="285"/>
      <c r="M12" s="286">
        <f>F12*C12</f>
        <v>0.22</v>
      </c>
      <c r="N12" s="287">
        <f t="shared" si="5"/>
        <v>0.02</v>
      </c>
      <c r="O12" s="288"/>
      <c r="P12" s="289">
        <f>IF(C12&lt;$C$8,$B$7*$C$7,$C$8-F12)</f>
        <v>0.40659999999999996</v>
      </c>
      <c r="Q12" s="290">
        <f t="shared" si="6"/>
        <v>0.02</v>
      </c>
      <c r="R12" s="291"/>
      <c r="S12" s="292">
        <f>C12*G12</f>
        <v>0.40659999999999996</v>
      </c>
      <c r="T12" s="293">
        <f t="shared" si="8"/>
        <v>0.02</v>
      </c>
      <c r="U12" s="294"/>
      <c r="V12" s="298">
        <f t="shared" si="10"/>
        <v>0.62659999999999993</v>
      </c>
      <c r="W12" s="293">
        <f t="shared" si="11"/>
        <v>0.62659999999999993</v>
      </c>
      <c r="X12" s="294"/>
      <c r="Y12" s="299">
        <f t="shared" si="15"/>
        <v>0.02</v>
      </c>
      <c r="Z12" s="299">
        <f t="shared" si="16"/>
        <v>0.02</v>
      </c>
      <c r="AA12" s="300">
        <f t="shared" si="17"/>
        <v>0</v>
      </c>
      <c r="AB12" s="301">
        <f t="shared" si="9"/>
        <v>0</v>
      </c>
      <c r="AH12" s="303"/>
      <c r="AI12" s="303"/>
      <c r="AL12" s="154">
        <f t="shared" ref="AL12:AL23" si="18">+$AL$11</f>
        <v>20.329999999999998</v>
      </c>
      <c r="AM12" s="304">
        <f>AL12/B12</f>
        <v>0.64889881902330038</v>
      </c>
      <c r="AN12" s="155">
        <f>AR12+AP12</f>
        <v>1.9999999999999962E-2</v>
      </c>
      <c r="AP12" s="304">
        <f>M12-M11</f>
        <v>1.9999999999999962E-2</v>
      </c>
      <c r="AQ12" s="305">
        <f xml:space="preserve"> $E$7*M12</f>
        <v>7480</v>
      </c>
      <c r="AT12" s="304">
        <f>E12*$AY$6</f>
        <v>0.22</v>
      </c>
      <c r="AV12" s="210">
        <f t="shared" ref="AV12:AV14" si="19">AW11*AW12</f>
        <v>0.16532355999999998</v>
      </c>
      <c r="AW12" s="304">
        <f>AL12*$AY$6</f>
        <v>0.40659999999999996</v>
      </c>
      <c r="AY12" s="154">
        <v>31</v>
      </c>
    </row>
    <row r="13" spans="1:51" x14ac:dyDescent="0.25">
      <c r="B13" s="203">
        <f>B12+1</f>
        <v>32.33</v>
      </c>
      <c r="C13" s="278">
        <f t="shared" si="12"/>
        <v>0.64659999999999995</v>
      </c>
      <c r="D13" s="288"/>
      <c r="E13" s="279">
        <f t="shared" si="0"/>
        <v>12</v>
      </c>
      <c r="F13" s="280">
        <f t="shared" si="1"/>
        <v>0.3711722858026601</v>
      </c>
      <c r="G13" s="281">
        <f t="shared" si="2"/>
        <v>0.62882771419733996</v>
      </c>
      <c r="H13" s="282">
        <f t="shared" si="13"/>
        <v>1</v>
      </c>
      <c r="I13" s="285"/>
      <c r="J13" s="283">
        <f t="shared" si="3"/>
        <v>0.24</v>
      </c>
      <c r="K13" s="284">
        <f t="shared" si="14"/>
        <v>0.02</v>
      </c>
      <c r="L13" s="285"/>
      <c r="M13" s="286">
        <f t="shared" si="4"/>
        <v>0.24</v>
      </c>
      <c r="N13" s="287">
        <f t="shared" si="5"/>
        <v>0.02</v>
      </c>
      <c r="O13" s="288"/>
      <c r="P13" s="289">
        <f t="shared" ref="P13:P15" si="20">IF(C13&lt;$C$8,$B$7*$C$7,$C$8-F13)</f>
        <v>0.40659999999999996</v>
      </c>
      <c r="Q13" s="306">
        <f t="shared" si="6"/>
        <v>0.02</v>
      </c>
      <c r="R13" s="291"/>
      <c r="S13" s="292">
        <f t="shared" si="7"/>
        <v>0.40659999999999996</v>
      </c>
      <c r="T13" s="293">
        <f t="shared" si="8"/>
        <v>0.02</v>
      </c>
      <c r="U13" s="294"/>
      <c r="V13" s="298">
        <f t="shared" si="10"/>
        <v>0.64659999999999995</v>
      </c>
      <c r="W13" s="293">
        <f t="shared" si="11"/>
        <v>0.64659999999999995</v>
      </c>
      <c r="X13" s="294"/>
      <c r="Y13" s="299">
        <f t="shared" si="15"/>
        <v>0.02</v>
      </c>
      <c r="Z13" s="299">
        <f t="shared" si="16"/>
        <v>0.02</v>
      </c>
      <c r="AA13" s="300">
        <f t="shared" si="17"/>
        <v>0</v>
      </c>
      <c r="AB13" s="301">
        <f t="shared" si="9"/>
        <v>0</v>
      </c>
      <c r="AH13" s="303"/>
      <c r="AI13" s="303"/>
      <c r="AL13" s="154">
        <f t="shared" si="18"/>
        <v>20.329999999999998</v>
      </c>
      <c r="AM13" s="304">
        <f>AL13/B13</f>
        <v>0.62882771419733996</v>
      </c>
      <c r="AN13" s="155">
        <f>AR13+AP13</f>
        <v>1.999999999999999E-2</v>
      </c>
      <c r="AP13" s="304">
        <f>M13-M12</f>
        <v>1.999999999999999E-2</v>
      </c>
      <c r="AQ13" s="305">
        <f xml:space="preserve"> $E$7*M13</f>
        <v>8160</v>
      </c>
      <c r="AT13" s="304">
        <f>E13*$AY$6</f>
        <v>0.24</v>
      </c>
      <c r="AV13" s="210">
        <f t="shared" si="19"/>
        <v>0.16532355999999998</v>
      </c>
      <c r="AW13" s="304">
        <f>AL13*$AY$6</f>
        <v>0.40659999999999996</v>
      </c>
      <c r="AY13" s="154">
        <v>35</v>
      </c>
    </row>
    <row r="14" spans="1:51" x14ac:dyDescent="0.25">
      <c r="B14" s="203">
        <f t="shared" ref="B14" si="21">B13+1</f>
        <v>33.33</v>
      </c>
      <c r="C14" s="278">
        <f t="shared" si="12"/>
        <v>0.66659999999999997</v>
      </c>
      <c r="D14" s="288"/>
      <c r="E14" s="279">
        <f t="shared" si="0"/>
        <v>13</v>
      </c>
      <c r="F14" s="280">
        <f t="shared" si="1"/>
        <v>0.39003900390039004</v>
      </c>
      <c r="G14" s="281">
        <f t="shared" si="2"/>
        <v>0.60996099609960996</v>
      </c>
      <c r="H14" s="282">
        <f t="shared" si="13"/>
        <v>1</v>
      </c>
      <c r="I14" s="285"/>
      <c r="J14" s="283">
        <f t="shared" si="3"/>
        <v>0.26</v>
      </c>
      <c r="K14" s="284">
        <f t="shared" si="14"/>
        <v>0.02</v>
      </c>
      <c r="L14" s="285"/>
      <c r="M14" s="286">
        <f t="shared" si="4"/>
        <v>0.26</v>
      </c>
      <c r="N14" s="287">
        <f t="shared" si="5"/>
        <v>0.02</v>
      </c>
      <c r="O14" s="288"/>
      <c r="P14" s="289">
        <f t="shared" si="20"/>
        <v>0.40659999999999996</v>
      </c>
      <c r="Q14" s="290">
        <f t="shared" si="6"/>
        <v>0.02</v>
      </c>
      <c r="R14" s="291"/>
      <c r="S14" s="292">
        <f t="shared" si="7"/>
        <v>0.40659999999999996</v>
      </c>
      <c r="T14" s="293">
        <f t="shared" si="8"/>
        <v>0.02</v>
      </c>
      <c r="U14" s="294"/>
      <c r="V14" s="298">
        <f t="shared" si="10"/>
        <v>0.66659999999999997</v>
      </c>
      <c r="W14" s="293">
        <f t="shared" ref="W14:W37" si="22">S14+M14</f>
        <v>0.66659999999999997</v>
      </c>
      <c r="X14" s="294"/>
      <c r="Y14" s="299">
        <f t="shared" si="15"/>
        <v>0.02</v>
      </c>
      <c r="Z14" s="299">
        <f t="shared" si="16"/>
        <v>0.02</v>
      </c>
      <c r="AA14" s="300">
        <f t="shared" si="17"/>
        <v>0</v>
      </c>
      <c r="AB14" s="301">
        <f t="shared" si="9"/>
        <v>0</v>
      </c>
      <c r="AH14" s="307"/>
      <c r="AI14" s="307"/>
      <c r="AL14" s="154">
        <f t="shared" si="18"/>
        <v>20.329999999999998</v>
      </c>
      <c r="AM14" s="304">
        <f>AL14/B14</f>
        <v>0.60996099609960996</v>
      </c>
      <c r="AN14" s="155">
        <f>AR14+AP14</f>
        <v>2.0000000000000018E-2</v>
      </c>
      <c r="AP14" s="304">
        <f>M14-M13</f>
        <v>2.0000000000000018E-2</v>
      </c>
      <c r="AQ14" s="305">
        <f xml:space="preserve"> $E$7*M14</f>
        <v>8840</v>
      </c>
      <c r="AT14" s="304">
        <f>E14*$AY$6</f>
        <v>0.26</v>
      </c>
      <c r="AV14" s="210">
        <f t="shared" si="19"/>
        <v>0.16532355999999998</v>
      </c>
      <c r="AW14" s="304">
        <f>AL14*$AY$6</f>
        <v>0.40659999999999996</v>
      </c>
      <c r="AY14" s="154">
        <v>36</v>
      </c>
    </row>
    <row r="15" spans="1:51" ht="14.4" thickBot="1" x14ac:dyDescent="0.3">
      <c r="B15" s="203">
        <f>B14+1</f>
        <v>34.33</v>
      </c>
      <c r="C15" s="278">
        <f t="shared" si="12"/>
        <v>0.68659999999999999</v>
      </c>
      <c r="D15" s="288"/>
      <c r="E15" s="279">
        <f t="shared" si="0"/>
        <v>14</v>
      </c>
      <c r="F15" s="280">
        <f t="shared" si="1"/>
        <v>0.40780658316341395</v>
      </c>
      <c r="G15" s="281">
        <f t="shared" si="2"/>
        <v>0.59219341683658611</v>
      </c>
      <c r="H15" s="282">
        <f t="shared" si="13"/>
        <v>1</v>
      </c>
      <c r="I15" s="285"/>
      <c r="J15" s="283">
        <f t="shared" si="3"/>
        <v>0.28000000000000003</v>
      </c>
      <c r="K15" s="284">
        <f t="shared" si="14"/>
        <v>0.02</v>
      </c>
      <c r="L15" s="285"/>
      <c r="M15" s="286">
        <f t="shared" si="4"/>
        <v>0.28000000000000003</v>
      </c>
      <c r="N15" s="287">
        <f t="shared" si="5"/>
        <v>0.02</v>
      </c>
      <c r="O15" s="288"/>
      <c r="P15" s="289">
        <f t="shared" si="20"/>
        <v>0.40659999999999996</v>
      </c>
      <c r="Q15" s="290">
        <f t="shared" si="6"/>
        <v>0.02</v>
      </c>
      <c r="R15" s="291"/>
      <c r="S15" s="292">
        <f t="shared" si="7"/>
        <v>0.40660000000000002</v>
      </c>
      <c r="T15" s="293">
        <f t="shared" si="8"/>
        <v>2.0000000000000004E-2</v>
      </c>
      <c r="U15" s="294"/>
      <c r="V15" s="298">
        <f t="shared" si="10"/>
        <v>0.68659999999999999</v>
      </c>
      <c r="W15" s="293">
        <f t="shared" si="22"/>
        <v>0.6866000000000001</v>
      </c>
      <c r="X15" s="294"/>
      <c r="Y15" s="299">
        <f t="shared" si="15"/>
        <v>0.02</v>
      </c>
      <c r="Z15" s="299">
        <f t="shared" si="16"/>
        <v>0.02</v>
      </c>
      <c r="AA15" s="300">
        <f t="shared" si="17"/>
        <v>0</v>
      </c>
      <c r="AB15" s="301">
        <f t="shared" si="9"/>
        <v>0</v>
      </c>
      <c r="AH15" s="303"/>
      <c r="AI15" s="303"/>
      <c r="AJ15" s="310"/>
      <c r="AL15" s="154">
        <f t="shared" si="18"/>
        <v>20.329999999999998</v>
      </c>
      <c r="AM15" s="304">
        <f>AL15/B15</f>
        <v>0.59219341683658611</v>
      </c>
      <c r="AN15" s="155">
        <f>AR15+AP15</f>
        <v>2.0000000000000018E-2</v>
      </c>
      <c r="AP15" s="304">
        <f>M15-M14</f>
        <v>2.0000000000000018E-2</v>
      </c>
      <c r="AQ15" s="305">
        <f xml:space="preserve"> $E$7*M15</f>
        <v>9520</v>
      </c>
      <c r="AT15" s="304">
        <f>E15*$AY$6</f>
        <v>0.28000000000000003</v>
      </c>
      <c r="AW15" s="304">
        <f>AL15*$AY$6</f>
        <v>0.40659999999999996</v>
      </c>
      <c r="AY15" s="154">
        <v>38</v>
      </c>
    </row>
    <row r="16" spans="1:51" ht="14.4" thickBot="1" x14ac:dyDescent="0.3">
      <c r="B16" s="203">
        <f>B15+1-0.33</f>
        <v>35</v>
      </c>
      <c r="C16" s="278">
        <f t="shared" si="12"/>
        <v>0.70000000000000007</v>
      </c>
      <c r="D16" s="313"/>
      <c r="E16" s="314">
        <f t="shared" si="0"/>
        <v>14.670000000000002</v>
      </c>
      <c r="F16" s="474">
        <f t="shared" si="1"/>
        <v>0.41914285714285721</v>
      </c>
      <c r="G16" s="316">
        <f t="shared" si="2"/>
        <v>0.58085714285714285</v>
      </c>
      <c r="H16" s="316">
        <f t="shared" si="13"/>
        <v>1</v>
      </c>
      <c r="I16" s="317"/>
      <c r="J16" s="318">
        <f t="shared" si="3"/>
        <v>0.29340000000000005</v>
      </c>
      <c r="K16" s="319">
        <f t="shared" si="14"/>
        <v>0.02</v>
      </c>
      <c r="L16" s="285"/>
      <c r="M16" s="475">
        <f t="shared" si="4"/>
        <v>0.29340000000000005</v>
      </c>
      <c r="N16" s="320">
        <f>IF(B16&lt;$B$16,M16/E16,M16/E16)</f>
        <v>0.02</v>
      </c>
      <c r="O16" s="291">
        <f>IF(C16&lt;$B$16,N16/F16,N16/($B$7*H16))</f>
        <v>4.7716428084526238E-2</v>
      </c>
      <c r="P16" s="321">
        <f>IF(C16&lt;$C$8,$B$7*$C$7, C16-J16)</f>
        <v>0.40660000000000002</v>
      </c>
      <c r="Q16" s="322">
        <f>(C11-P11)/E11</f>
        <v>2.0000000000000007E-2</v>
      </c>
      <c r="R16" s="323"/>
      <c r="S16" s="320">
        <f t="shared" si="7"/>
        <v>0.40660000000000002</v>
      </c>
      <c r="T16" s="320">
        <f t="shared" si="8"/>
        <v>2.0000000000000004E-2</v>
      </c>
      <c r="U16" s="324"/>
      <c r="V16" s="298">
        <f t="shared" si="10"/>
        <v>0.70000000000000029</v>
      </c>
      <c r="W16" s="293">
        <f t="shared" si="22"/>
        <v>0.70000000000000007</v>
      </c>
      <c r="X16" s="324"/>
      <c r="Y16" s="325">
        <f t="shared" si="15"/>
        <v>0.02</v>
      </c>
      <c r="Z16" s="325">
        <f t="shared" si="16"/>
        <v>0.02</v>
      </c>
      <c r="AA16" s="326">
        <f t="shared" si="17"/>
        <v>0</v>
      </c>
      <c r="AB16" s="327">
        <f t="shared" si="9"/>
        <v>0</v>
      </c>
      <c r="AH16" s="328"/>
      <c r="AI16" s="303"/>
      <c r="AJ16" s="310"/>
      <c r="AL16" s="154">
        <f t="shared" si="18"/>
        <v>20.329999999999998</v>
      </c>
      <c r="AM16" s="304"/>
      <c r="AN16" s="155"/>
      <c r="AP16" s="304"/>
      <c r="AQ16" s="305"/>
      <c r="AT16" s="304"/>
      <c r="AW16" s="304"/>
    </row>
    <row r="17" spans="2:51" x14ac:dyDescent="0.25">
      <c r="B17" s="203">
        <f>B16+0.33</f>
        <v>35.33</v>
      </c>
      <c r="C17" s="278">
        <f t="shared" si="12"/>
        <v>0.70000000000000007</v>
      </c>
      <c r="D17" s="333"/>
      <c r="E17" s="279">
        <f t="shared" si="0"/>
        <v>15</v>
      </c>
      <c r="F17" s="476">
        <f>E17/B17</f>
        <v>0.42456835550523636</v>
      </c>
      <c r="G17" s="477">
        <f t="shared" si="2"/>
        <v>0.57543164449476358</v>
      </c>
      <c r="H17" s="282">
        <f t="shared" si="13"/>
        <v>1</v>
      </c>
      <c r="I17" s="478"/>
      <c r="J17" s="283">
        <f t="shared" si="3"/>
        <v>0.3</v>
      </c>
      <c r="K17" s="479">
        <f t="shared" si="14"/>
        <v>0.02</v>
      </c>
      <c r="L17" s="285"/>
      <c r="M17" s="335">
        <f>E17/B17*C17</f>
        <v>0.29719784885366546</v>
      </c>
      <c r="N17" s="329">
        <f>IF(B17&lt;$B$16,M17/E17,M17/E17)</f>
        <v>1.9813189923577699E-2</v>
      </c>
      <c r="O17" s="336"/>
      <c r="P17" s="289">
        <f>IF(C17&lt;$C$8,$B$7*$C$7, C17-J17)</f>
        <v>0.40000000000000008</v>
      </c>
      <c r="Q17" s="306">
        <f>(C12-P12)/E12</f>
        <v>1.9999999999999997E-2</v>
      </c>
      <c r="R17" s="294"/>
      <c r="S17" s="292">
        <f>C17*G17</f>
        <v>0.40280215114633455</v>
      </c>
      <c r="T17" s="337">
        <f t="shared" si="8"/>
        <v>1.9813189923577699E-2</v>
      </c>
      <c r="U17" s="338"/>
      <c r="V17" s="298">
        <f t="shared" si="10"/>
        <v>0.70659999999999989</v>
      </c>
      <c r="W17" s="293">
        <f t="shared" si="22"/>
        <v>0.7</v>
      </c>
      <c r="X17" s="338"/>
      <c r="Y17" s="299">
        <f t="shared" si="15"/>
        <v>0.02</v>
      </c>
      <c r="Z17" s="339">
        <f t="shared" si="16"/>
        <v>1.9813189923577699E-2</v>
      </c>
      <c r="AA17" s="340">
        <f t="shared" ref="AA17:AA37" si="23">-J17+M17</f>
        <v>-2.8021511463345306E-3</v>
      </c>
      <c r="AB17" s="341">
        <f>((Z17/$C$7)-1)</f>
        <v>-9.3405038211150648E-3</v>
      </c>
      <c r="AH17" s="342"/>
      <c r="AI17" s="480"/>
      <c r="AL17" s="481">
        <f t="shared" si="18"/>
        <v>20.329999999999998</v>
      </c>
      <c r="AM17" s="304">
        <f t="shared" ref="AM17:AM23" si="24">AL17/B17</f>
        <v>0.57543164449476358</v>
      </c>
      <c r="AN17" s="482">
        <f t="shared" ref="AN17:AN33" si="25">AR17+AP17</f>
        <v>1.7197848853665432E-2</v>
      </c>
      <c r="AP17" s="483">
        <f>M17-M15</f>
        <v>1.7197848853665432E-2</v>
      </c>
      <c r="AQ17" s="484">
        <f t="shared" ref="AQ17:AQ23" si="26" xml:space="preserve"> $E$7*M17</f>
        <v>10104.726861024626</v>
      </c>
      <c r="AT17" s="304">
        <f t="shared" ref="AT17:AT23" si="27">E17*$AY$6</f>
        <v>0.3</v>
      </c>
      <c r="AW17" s="304">
        <f>AL17*$AY$6</f>
        <v>0.40659999999999996</v>
      </c>
      <c r="AY17" s="154">
        <v>40</v>
      </c>
    </row>
    <row r="18" spans="2:51" x14ac:dyDescent="0.25">
      <c r="B18" s="203">
        <f>B17+1</f>
        <v>36.33</v>
      </c>
      <c r="C18" s="278">
        <f>IF(B18&lt;$B$16,B18*#REF!,(B18-(B18-$B$16))*$C$7)</f>
        <v>0.70000000000000007</v>
      </c>
      <c r="D18" s="333"/>
      <c r="E18" s="279">
        <f t="shared" si="0"/>
        <v>16</v>
      </c>
      <c r="F18" s="280">
        <f t="shared" ref="F18:F37" si="28">E18/B18</f>
        <v>0.44040737682356179</v>
      </c>
      <c r="G18" s="477">
        <f t="shared" si="2"/>
        <v>0.55959262317643821</v>
      </c>
      <c r="H18" s="282">
        <f t="shared" si="13"/>
        <v>1</v>
      </c>
      <c r="I18" s="334"/>
      <c r="J18" s="283">
        <f t="shared" si="3"/>
        <v>0.32</v>
      </c>
      <c r="K18" s="284">
        <f t="shared" si="14"/>
        <v>0.02</v>
      </c>
      <c r="L18" s="285"/>
      <c r="M18" s="335">
        <f t="shared" ref="M18:M19" si="29">E18/B18*C18</f>
        <v>0.30828516377649329</v>
      </c>
      <c r="N18" s="329">
        <f t="shared" ref="N18:N37" si="30">IF(B18&lt;$B$16,M18/E18,M18/E18)</f>
        <v>1.926782273603083E-2</v>
      </c>
      <c r="O18" s="336"/>
      <c r="P18" s="289">
        <f t="shared" ref="P18:P37" si="31">IF(C18&lt;$C$8,$B$7*$C$7, C18-J18)</f>
        <v>0.38000000000000006</v>
      </c>
      <c r="Q18" s="306">
        <f t="shared" ref="Q18:Q33" si="32">(C13-P13)/E13</f>
        <v>0.02</v>
      </c>
      <c r="R18" s="294"/>
      <c r="S18" s="292">
        <f t="shared" ref="S18:S37" si="33">C18*G18</f>
        <v>0.39171483622350678</v>
      </c>
      <c r="T18" s="337">
        <f t="shared" si="8"/>
        <v>1.926782273603083E-2</v>
      </c>
      <c r="U18" s="338"/>
      <c r="V18" s="298">
        <f t="shared" si="10"/>
        <v>0.72660000000000002</v>
      </c>
      <c r="W18" s="293">
        <f t="shared" si="22"/>
        <v>0.70000000000000007</v>
      </c>
      <c r="X18" s="338"/>
      <c r="Y18" s="299">
        <f t="shared" si="15"/>
        <v>0.02</v>
      </c>
      <c r="Z18" s="339">
        <f t="shared" si="16"/>
        <v>1.926782273603083E-2</v>
      </c>
      <c r="AA18" s="340">
        <f t="shared" si="23"/>
        <v>-1.1714836223506719E-2</v>
      </c>
      <c r="AB18" s="341">
        <f t="shared" ref="AB18:AB37" si="34">((Z18/$C$7)-1)</f>
        <v>-3.6608863198458463E-2</v>
      </c>
      <c r="AH18" s="342"/>
      <c r="AI18" s="342"/>
      <c r="AL18" s="154">
        <f t="shared" si="18"/>
        <v>20.329999999999998</v>
      </c>
      <c r="AM18" s="304">
        <f t="shared" si="24"/>
        <v>0.55959262317643821</v>
      </c>
      <c r="AN18" s="155">
        <f t="shared" si="25"/>
        <v>0</v>
      </c>
      <c r="AP18" s="304"/>
      <c r="AQ18" s="305">
        <f t="shared" si="26"/>
        <v>10481.695568400772</v>
      </c>
      <c r="AT18" s="304">
        <f t="shared" si="27"/>
        <v>0.32</v>
      </c>
      <c r="AW18" s="304">
        <f>AL18*$AY$6</f>
        <v>0.40659999999999996</v>
      </c>
      <c r="AY18" s="154">
        <v>42.33</v>
      </c>
    </row>
    <row r="19" spans="2:51" x14ac:dyDescent="0.25">
      <c r="B19" s="203">
        <f t="shared" ref="B19:B23" si="35">B18+1</f>
        <v>37.33</v>
      </c>
      <c r="C19" s="278">
        <f>IF(B19&lt;$B$16,B19*J8,(B19-(B19-$B$16))*$C$7)</f>
        <v>0.70000000000000007</v>
      </c>
      <c r="D19" s="333"/>
      <c r="E19" s="279">
        <f t="shared" si="0"/>
        <v>17</v>
      </c>
      <c r="F19" s="280">
        <f t="shared" si="28"/>
        <v>0.45539780337530139</v>
      </c>
      <c r="G19" s="477">
        <f t="shared" si="2"/>
        <v>0.54460219662469866</v>
      </c>
      <c r="H19" s="282">
        <f t="shared" si="13"/>
        <v>1</v>
      </c>
      <c r="I19" s="334"/>
      <c r="J19" s="283">
        <f t="shared" si="3"/>
        <v>0.34</v>
      </c>
      <c r="K19" s="284">
        <f t="shared" si="14"/>
        <v>0.02</v>
      </c>
      <c r="L19" s="285"/>
      <c r="M19" s="335">
        <f t="shared" si="29"/>
        <v>0.31877846236271101</v>
      </c>
      <c r="N19" s="329">
        <f t="shared" si="30"/>
        <v>1.875167425663006E-2</v>
      </c>
      <c r="O19" s="288"/>
      <c r="P19" s="289">
        <f t="shared" si="31"/>
        <v>0.36000000000000004</v>
      </c>
      <c r="Q19" s="306">
        <f t="shared" si="32"/>
        <v>0.02</v>
      </c>
      <c r="R19" s="291"/>
      <c r="S19" s="292">
        <f t="shared" si="33"/>
        <v>0.38122153763728911</v>
      </c>
      <c r="T19" s="337">
        <f t="shared" si="8"/>
        <v>1.875167425663006E-2</v>
      </c>
      <c r="U19" s="338"/>
      <c r="V19" s="298">
        <f t="shared" si="10"/>
        <v>0.74659999999999993</v>
      </c>
      <c r="W19" s="293">
        <f t="shared" si="22"/>
        <v>0.70000000000000018</v>
      </c>
      <c r="X19" s="338"/>
      <c r="Y19" s="299">
        <f t="shared" si="15"/>
        <v>0.02</v>
      </c>
      <c r="Z19" s="339">
        <f t="shared" si="16"/>
        <v>1.875167425663006E-2</v>
      </c>
      <c r="AA19" s="340">
        <f t="shared" si="23"/>
        <v>-2.1221537637289012E-2</v>
      </c>
      <c r="AB19" s="341">
        <f t="shared" si="34"/>
        <v>-6.2416287168497009E-2</v>
      </c>
      <c r="AH19" s="342"/>
      <c r="AI19" s="342"/>
      <c r="AL19" s="154">
        <f t="shared" si="18"/>
        <v>20.329999999999998</v>
      </c>
      <c r="AM19" s="304">
        <f t="shared" si="24"/>
        <v>0.54460219662469866</v>
      </c>
      <c r="AN19" s="155">
        <f t="shared" si="25"/>
        <v>0</v>
      </c>
      <c r="AP19" s="304"/>
      <c r="AQ19" s="305">
        <f t="shared" si="26"/>
        <v>10838.467720332175</v>
      </c>
      <c r="AT19" s="304">
        <f t="shared" si="27"/>
        <v>0.34</v>
      </c>
    </row>
    <row r="20" spans="2:51" x14ac:dyDescent="0.25">
      <c r="B20" s="203">
        <f t="shared" si="35"/>
        <v>38.33</v>
      </c>
      <c r="C20" s="278">
        <f>IF(B20&lt;$B$16,B20*J9,(B20-(B20-$B$16))*$C$7)</f>
        <v>0.70000000000000007</v>
      </c>
      <c r="D20" s="333"/>
      <c r="E20" s="279">
        <f t="shared" si="0"/>
        <v>18</v>
      </c>
      <c r="F20" s="280">
        <f t="shared" si="28"/>
        <v>0.46960605270023481</v>
      </c>
      <c r="G20" s="477">
        <f t="shared" si="2"/>
        <v>0.53039394729976519</v>
      </c>
      <c r="H20" s="282">
        <f t="shared" si="13"/>
        <v>1</v>
      </c>
      <c r="I20" s="285"/>
      <c r="J20" s="283">
        <f t="shared" si="3"/>
        <v>0.36</v>
      </c>
      <c r="K20" s="284">
        <f t="shared" si="14"/>
        <v>0.02</v>
      </c>
      <c r="L20" s="285"/>
      <c r="M20" s="286">
        <f t="shared" ref="M20:M37" si="36">F20*C20</f>
        <v>0.32872423689016439</v>
      </c>
      <c r="N20" s="329">
        <f t="shared" si="30"/>
        <v>1.8262457605009132E-2</v>
      </c>
      <c r="O20" s="288"/>
      <c r="P20" s="289">
        <f t="shared" si="31"/>
        <v>0.34000000000000008</v>
      </c>
      <c r="Q20" s="306">
        <f t="shared" si="32"/>
        <v>0.02</v>
      </c>
      <c r="R20" s="291"/>
      <c r="S20" s="292">
        <f t="shared" si="33"/>
        <v>0.37127576310983568</v>
      </c>
      <c r="T20" s="337">
        <f t="shared" si="8"/>
        <v>1.8262457605009136E-2</v>
      </c>
      <c r="U20" s="338"/>
      <c r="V20" s="298">
        <f t="shared" si="10"/>
        <v>0.76659999999999995</v>
      </c>
      <c r="W20" s="293">
        <f t="shared" si="22"/>
        <v>0.70000000000000007</v>
      </c>
      <c r="X20" s="338"/>
      <c r="Y20" s="299">
        <f t="shared" si="15"/>
        <v>0.02</v>
      </c>
      <c r="Z20" s="339">
        <f t="shared" si="16"/>
        <v>1.8262457605009132E-2</v>
      </c>
      <c r="AA20" s="340">
        <f t="shared" si="23"/>
        <v>-3.1275763109835597E-2</v>
      </c>
      <c r="AB20" s="341">
        <f t="shared" si="34"/>
        <v>-8.6877119749543374E-2</v>
      </c>
      <c r="AH20" s="342"/>
      <c r="AI20" s="342"/>
      <c r="AL20" s="154">
        <f t="shared" si="18"/>
        <v>20.329999999999998</v>
      </c>
      <c r="AM20" s="304">
        <f t="shared" si="24"/>
        <v>0.53039394729976519</v>
      </c>
      <c r="AN20" s="155">
        <f t="shared" si="25"/>
        <v>0</v>
      </c>
      <c r="AP20" s="304"/>
      <c r="AQ20" s="305">
        <f t="shared" si="26"/>
        <v>11176.624054265589</v>
      </c>
      <c r="AT20" s="304">
        <f t="shared" si="27"/>
        <v>0.36</v>
      </c>
    </row>
    <row r="21" spans="2:51" x14ac:dyDescent="0.25">
      <c r="B21" s="203">
        <f t="shared" si="35"/>
        <v>39.33</v>
      </c>
      <c r="C21" s="278">
        <f t="shared" ref="C21:C37" si="37">IF(B21&lt;$B$16,B21*J11,(B21-(B21-$B$16))*$C$7)</f>
        <v>0.70000000000000007</v>
      </c>
      <c r="D21" s="333"/>
      <c r="E21" s="279">
        <f t="shared" si="0"/>
        <v>19</v>
      </c>
      <c r="F21" s="280">
        <f t="shared" si="28"/>
        <v>0.48309178743961356</v>
      </c>
      <c r="G21" s="477">
        <f t="shared" si="2"/>
        <v>0.51690821256038644</v>
      </c>
      <c r="H21" s="282">
        <f t="shared" si="13"/>
        <v>1</v>
      </c>
      <c r="I21" s="285"/>
      <c r="J21" s="283">
        <f t="shared" si="3"/>
        <v>0.38</v>
      </c>
      <c r="K21" s="284">
        <f t="shared" si="14"/>
        <v>0.02</v>
      </c>
      <c r="L21" s="285"/>
      <c r="M21" s="286">
        <f t="shared" si="36"/>
        <v>0.33816425120772953</v>
      </c>
      <c r="N21" s="329">
        <f t="shared" si="30"/>
        <v>1.7798118484617344E-2</v>
      </c>
      <c r="O21" s="288"/>
      <c r="P21" s="289">
        <f t="shared" si="31"/>
        <v>0.32000000000000006</v>
      </c>
      <c r="Q21" s="306">
        <f t="shared" si="32"/>
        <v>0.02</v>
      </c>
      <c r="R21" s="291"/>
      <c r="S21" s="292">
        <f t="shared" si="33"/>
        <v>0.36183574879227054</v>
      </c>
      <c r="T21" s="337">
        <f t="shared" si="8"/>
        <v>1.7798118484617341E-2</v>
      </c>
      <c r="U21" s="338"/>
      <c r="V21" s="298">
        <f t="shared" si="10"/>
        <v>0.78659999999999997</v>
      </c>
      <c r="W21" s="293">
        <f t="shared" si="22"/>
        <v>0.70000000000000007</v>
      </c>
      <c r="X21" s="338"/>
      <c r="Y21" s="325">
        <f t="shared" si="15"/>
        <v>0.02</v>
      </c>
      <c r="Z21" s="339">
        <f t="shared" si="16"/>
        <v>1.7798118484617344E-2</v>
      </c>
      <c r="AA21" s="340">
        <f t="shared" si="23"/>
        <v>-4.1835748792270477E-2</v>
      </c>
      <c r="AB21" s="341">
        <f t="shared" si="34"/>
        <v>-0.11009407576913277</v>
      </c>
      <c r="AH21" s="342"/>
      <c r="AI21" s="342"/>
      <c r="AL21" s="154">
        <f t="shared" si="18"/>
        <v>20.329999999999998</v>
      </c>
      <c r="AM21" s="304">
        <f t="shared" si="24"/>
        <v>0.51690821256038644</v>
      </c>
      <c r="AN21" s="155">
        <f t="shared" si="25"/>
        <v>0</v>
      </c>
      <c r="AP21" s="304"/>
      <c r="AQ21" s="305">
        <f t="shared" si="26"/>
        <v>11497.584541062804</v>
      </c>
      <c r="AT21" s="304">
        <f t="shared" si="27"/>
        <v>0.38</v>
      </c>
    </row>
    <row r="22" spans="2:51" x14ac:dyDescent="0.25">
      <c r="B22" s="203">
        <f t="shared" si="35"/>
        <v>40.33</v>
      </c>
      <c r="C22" s="278">
        <f t="shared" si="37"/>
        <v>0.70000000000000007</v>
      </c>
      <c r="D22" s="333"/>
      <c r="E22" s="279">
        <f t="shared" si="0"/>
        <v>20</v>
      </c>
      <c r="F22" s="280">
        <f t="shared" si="28"/>
        <v>0.49590875278948676</v>
      </c>
      <c r="G22" s="477">
        <f t="shared" si="2"/>
        <v>0.50409124721051324</v>
      </c>
      <c r="H22" s="282">
        <f t="shared" si="13"/>
        <v>1</v>
      </c>
      <c r="I22" s="285"/>
      <c r="J22" s="283">
        <f t="shared" si="3"/>
        <v>0.4</v>
      </c>
      <c r="K22" s="284">
        <f t="shared" si="14"/>
        <v>0.02</v>
      </c>
      <c r="L22" s="285"/>
      <c r="M22" s="286">
        <f t="shared" si="36"/>
        <v>0.34713612695264079</v>
      </c>
      <c r="N22" s="329">
        <f t="shared" si="30"/>
        <v>1.735680634763204E-2</v>
      </c>
      <c r="O22" s="288"/>
      <c r="P22" s="289">
        <f t="shared" si="31"/>
        <v>0.30000000000000004</v>
      </c>
      <c r="Q22" s="306">
        <f t="shared" si="32"/>
        <v>0.02</v>
      </c>
      <c r="R22" s="291"/>
      <c r="S22" s="292">
        <f t="shared" si="33"/>
        <v>0.35286387304735928</v>
      </c>
      <c r="T22" s="337">
        <f t="shared" si="8"/>
        <v>1.7356806347632037E-2</v>
      </c>
      <c r="U22" s="338"/>
      <c r="V22" s="298">
        <f t="shared" si="10"/>
        <v>0.80659999999999998</v>
      </c>
      <c r="W22" s="293">
        <f t="shared" si="22"/>
        <v>0.70000000000000007</v>
      </c>
      <c r="X22" s="338"/>
      <c r="Y22" s="299">
        <f t="shared" si="15"/>
        <v>0.02</v>
      </c>
      <c r="Z22" s="339">
        <f t="shared" si="16"/>
        <v>1.735680634763204E-2</v>
      </c>
      <c r="AA22" s="340">
        <f t="shared" si="23"/>
        <v>-5.2863873047359233E-2</v>
      </c>
      <c r="AB22" s="341">
        <f t="shared" si="34"/>
        <v>-0.13215968261839806</v>
      </c>
      <c r="AH22" s="342"/>
      <c r="AI22" s="342"/>
      <c r="AL22" s="154">
        <f t="shared" si="18"/>
        <v>20.329999999999998</v>
      </c>
      <c r="AM22" s="304">
        <f t="shared" si="24"/>
        <v>0.50409124721051324</v>
      </c>
      <c r="AN22" s="155">
        <f t="shared" si="25"/>
        <v>0</v>
      </c>
      <c r="AP22" s="304"/>
      <c r="AQ22" s="305">
        <f t="shared" si="26"/>
        <v>11802.628316389786</v>
      </c>
      <c r="AT22" s="304">
        <f t="shared" si="27"/>
        <v>0.4</v>
      </c>
    </row>
    <row r="23" spans="2:51" x14ac:dyDescent="0.25">
      <c r="B23" s="203">
        <f t="shared" si="35"/>
        <v>41.33</v>
      </c>
      <c r="C23" s="278">
        <f t="shared" si="37"/>
        <v>0.70000000000000007</v>
      </c>
      <c r="D23" s="333"/>
      <c r="E23" s="279">
        <f t="shared" si="0"/>
        <v>21</v>
      </c>
      <c r="F23" s="280">
        <f t="shared" si="28"/>
        <v>0.50810549237841762</v>
      </c>
      <c r="G23" s="477">
        <f t="shared" si="2"/>
        <v>0.49189450762158238</v>
      </c>
      <c r="H23" s="282">
        <f t="shared" si="13"/>
        <v>1</v>
      </c>
      <c r="I23" s="285"/>
      <c r="J23" s="283">
        <f t="shared" si="3"/>
        <v>0.42</v>
      </c>
      <c r="K23" s="284">
        <f t="shared" si="14"/>
        <v>0.02</v>
      </c>
      <c r="L23" s="285"/>
      <c r="M23" s="286">
        <f t="shared" si="36"/>
        <v>0.35567384466489238</v>
      </c>
      <c r="N23" s="329">
        <f t="shared" si="30"/>
        <v>1.6936849745947256E-2</v>
      </c>
      <c r="O23" s="288"/>
      <c r="P23" s="289">
        <f t="shared" si="31"/>
        <v>0.28000000000000008</v>
      </c>
      <c r="Q23" s="306">
        <f t="shared" si="32"/>
        <v>0.02</v>
      </c>
      <c r="R23" s="291"/>
      <c r="S23" s="292">
        <f t="shared" si="33"/>
        <v>0.34432615533510769</v>
      </c>
      <c r="T23" s="337">
        <f t="shared" si="8"/>
        <v>1.6936849745947256E-2</v>
      </c>
      <c r="U23" s="338"/>
      <c r="V23" s="298">
        <f t="shared" si="10"/>
        <v>0.8266</v>
      </c>
      <c r="W23" s="293">
        <f t="shared" si="22"/>
        <v>0.70000000000000007</v>
      </c>
      <c r="X23" s="338"/>
      <c r="Y23" s="299">
        <f t="shared" si="15"/>
        <v>0.02</v>
      </c>
      <c r="Z23" s="339">
        <f t="shared" si="16"/>
        <v>1.6936849745947256E-2</v>
      </c>
      <c r="AA23" s="340">
        <f t="shared" si="23"/>
        <v>-6.4326155335107604E-2</v>
      </c>
      <c r="AB23" s="341">
        <f>((Z23/$C$7)-1)</f>
        <v>-0.15315751270263722</v>
      </c>
      <c r="AH23" s="342"/>
      <c r="AI23" s="342"/>
      <c r="AL23" s="154">
        <f t="shared" si="18"/>
        <v>20.329999999999998</v>
      </c>
      <c r="AM23" s="304">
        <f t="shared" si="24"/>
        <v>0.49189450762158238</v>
      </c>
      <c r="AN23" s="155">
        <f t="shared" si="25"/>
        <v>0</v>
      </c>
      <c r="AP23" s="304"/>
      <c r="AQ23" s="305">
        <f t="shared" si="26"/>
        <v>12092.910718606341</v>
      </c>
      <c r="AT23" s="304">
        <f t="shared" si="27"/>
        <v>0.42</v>
      </c>
    </row>
    <row r="24" spans="2:51" ht="14.4" thickBot="1" x14ac:dyDescent="0.3">
      <c r="B24" s="308">
        <f>B23+0.33</f>
        <v>41.66</v>
      </c>
      <c r="C24" s="309">
        <f t="shared" si="37"/>
        <v>0.70000000000000007</v>
      </c>
      <c r="D24" s="333"/>
      <c r="E24" s="279">
        <f t="shared" si="0"/>
        <v>21.33</v>
      </c>
      <c r="F24" s="280">
        <f t="shared" si="28"/>
        <v>0.51200192030724911</v>
      </c>
      <c r="G24" s="477">
        <f t="shared" si="2"/>
        <v>0.48799807969275083</v>
      </c>
      <c r="H24" s="282">
        <f t="shared" si="13"/>
        <v>1</v>
      </c>
      <c r="I24" s="285"/>
      <c r="J24" s="283">
        <f t="shared" si="3"/>
        <v>0.42659999999999998</v>
      </c>
      <c r="K24" s="284">
        <f t="shared" si="14"/>
        <v>0.02</v>
      </c>
      <c r="L24" s="285"/>
      <c r="M24" s="286">
        <f t="shared" si="36"/>
        <v>0.35840134421507441</v>
      </c>
      <c r="N24" s="329">
        <f t="shared" si="30"/>
        <v>1.6802688430148826E-2</v>
      </c>
      <c r="O24" s="288"/>
      <c r="P24" s="289">
        <f t="shared" si="31"/>
        <v>0.27340000000000009</v>
      </c>
      <c r="Q24" s="306">
        <f t="shared" si="32"/>
        <v>0.02</v>
      </c>
      <c r="R24" s="291"/>
      <c r="S24" s="292">
        <f t="shared" si="33"/>
        <v>0.3415986557849256</v>
      </c>
      <c r="T24" s="337">
        <f t="shared" si="8"/>
        <v>1.6802688430148826E-2</v>
      </c>
      <c r="U24" s="338"/>
      <c r="V24" s="298">
        <f t="shared" si="10"/>
        <v>0.83319999999999994</v>
      </c>
      <c r="W24" s="293">
        <f t="shared" si="22"/>
        <v>0.7</v>
      </c>
      <c r="X24" s="338"/>
      <c r="Y24" s="299">
        <f t="shared" si="15"/>
        <v>0.02</v>
      </c>
      <c r="Z24" s="339">
        <f t="shared" si="16"/>
        <v>1.6802688430148826E-2</v>
      </c>
      <c r="AA24" s="340">
        <f t="shared" si="23"/>
        <v>-6.8198655784925566E-2</v>
      </c>
      <c r="AB24" s="341">
        <f>((Z24/$C$7)-1)</f>
        <v>-0.15986557849255867</v>
      </c>
      <c r="AH24" s="342"/>
      <c r="AI24" s="342"/>
      <c r="AM24" s="304"/>
      <c r="AN24" s="155"/>
      <c r="AP24" s="304"/>
      <c r="AQ24" s="305"/>
      <c r="AT24" s="304"/>
    </row>
    <row r="25" spans="2:51" ht="14.4" thickBot="1" x14ac:dyDescent="0.3">
      <c r="B25" s="314">
        <f>B24+1</f>
        <v>42.66</v>
      </c>
      <c r="C25" s="343">
        <f t="shared" si="37"/>
        <v>0.70000000000000007</v>
      </c>
      <c r="D25" s="333"/>
      <c r="E25" s="279">
        <f t="shared" si="0"/>
        <v>22.33</v>
      </c>
      <c r="F25" s="316">
        <f>E25/B25</f>
        <v>0.52344116268166896</v>
      </c>
      <c r="G25" s="280">
        <f>$B$7/B25</f>
        <v>0.47655883731833099</v>
      </c>
      <c r="H25" s="282">
        <f t="shared" si="13"/>
        <v>1</v>
      </c>
      <c r="I25" s="285"/>
      <c r="J25" s="485">
        <f t="shared" si="3"/>
        <v>0.4466</v>
      </c>
      <c r="K25" s="356">
        <f t="shared" si="14"/>
        <v>0.02</v>
      </c>
      <c r="L25" s="285"/>
      <c r="M25" s="486">
        <f t="shared" si="36"/>
        <v>0.36640881387716828</v>
      </c>
      <c r="N25" s="487">
        <f>IF(B25&lt;$B$16,M25/E25,M25/E25)</f>
        <v>1.6408813877168308E-2</v>
      </c>
      <c r="O25" s="288"/>
      <c r="P25" s="322">
        <f t="shared" si="31"/>
        <v>0.25340000000000007</v>
      </c>
      <c r="Q25" s="322">
        <f t="shared" si="32"/>
        <v>0.02</v>
      </c>
      <c r="R25" s="291"/>
      <c r="S25" s="320">
        <f t="shared" si="33"/>
        <v>0.33359118612283173</v>
      </c>
      <c r="T25" s="330">
        <f t="shared" si="8"/>
        <v>1.6408813877168311E-2</v>
      </c>
      <c r="U25" s="348"/>
      <c r="V25" s="298">
        <f t="shared" si="10"/>
        <v>0.85319999999999996</v>
      </c>
      <c r="W25" s="293">
        <f t="shared" si="22"/>
        <v>0.7</v>
      </c>
      <c r="X25" s="348"/>
      <c r="Y25" s="352">
        <f t="shared" si="15"/>
        <v>0.02</v>
      </c>
      <c r="Z25" s="353">
        <f t="shared" si="16"/>
        <v>1.6408813877168308E-2</v>
      </c>
      <c r="AA25" s="354">
        <f t="shared" si="23"/>
        <v>-8.0191186122831715E-2</v>
      </c>
      <c r="AB25" s="355">
        <f t="shared" si="34"/>
        <v>-0.17955930614158466</v>
      </c>
      <c r="AH25" s="342"/>
      <c r="AI25" s="342"/>
      <c r="AL25" s="154">
        <f t="shared" ref="AL25:AL33" si="38">+$AL$11</f>
        <v>20.329999999999998</v>
      </c>
      <c r="AM25" s="304">
        <f t="shared" ref="AM25:AM33" si="39">AL25/B25</f>
        <v>0.47655883731833099</v>
      </c>
      <c r="AN25" s="155">
        <f t="shared" si="25"/>
        <v>0</v>
      </c>
      <c r="AP25" s="304"/>
      <c r="AQ25" s="305">
        <f t="shared" ref="AQ25:AQ33" si="40" xml:space="preserve"> $E$7*M25</f>
        <v>12457.899671823721</v>
      </c>
      <c r="AT25" s="304">
        <f t="shared" ref="AT25:AT33" si="41">E25*$AY$6</f>
        <v>0.4466</v>
      </c>
    </row>
    <row r="26" spans="2:51" x14ac:dyDescent="0.25">
      <c r="B26" s="265">
        <f>B25+0.34</f>
        <v>43</v>
      </c>
      <c r="C26" s="332">
        <f t="shared" si="37"/>
        <v>0.70000000000000007</v>
      </c>
      <c r="D26" s="333"/>
      <c r="E26" s="344">
        <f t="shared" si="0"/>
        <v>22.67</v>
      </c>
      <c r="F26" s="488">
        <f>E26/B26</f>
        <v>0.52720930232558139</v>
      </c>
      <c r="G26" s="280">
        <f>$B$7/B26</f>
        <v>0.47279069767441856</v>
      </c>
      <c r="H26" s="282">
        <f t="shared" si="13"/>
        <v>1</v>
      </c>
      <c r="I26" s="285"/>
      <c r="J26" s="283">
        <f t="shared" si="3"/>
        <v>0.45340000000000003</v>
      </c>
      <c r="K26" s="284">
        <f t="shared" si="14"/>
        <v>0.02</v>
      </c>
      <c r="L26" s="285"/>
      <c r="M26" s="286">
        <f t="shared" si="36"/>
        <v>0.36904651162790703</v>
      </c>
      <c r="N26" s="329">
        <f>IF(B26&lt;$B$16,M26/E26,M26/E26)</f>
        <v>1.627906976744186E-2</v>
      </c>
      <c r="O26" s="288"/>
      <c r="P26" s="289">
        <f t="shared" si="31"/>
        <v>0.24660000000000004</v>
      </c>
      <c r="Q26" s="306">
        <f>(C21-P21)/E21</f>
        <v>0.02</v>
      </c>
      <c r="R26" s="291"/>
      <c r="S26" s="292">
        <f t="shared" si="33"/>
        <v>0.33095348837209304</v>
      </c>
      <c r="T26" s="337">
        <f t="shared" si="8"/>
        <v>1.6279069767441864E-2</v>
      </c>
      <c r="U26" s="338"/>
      <c r="V26" s="298">
        <f t="shared" si="10"/>
        <v>0.86</v>
      </c>
      <c r="W26" s="293">
        <f t="shared" si="22"/>
        <v>0.70000000000000007</v>
      </c>
      <c r="X26" s="338"/>
      <c r="Y26" s="299">
        <f t="shared" si="15"/>
        <v>0.02</v>
      </c>
      <c r="Z26" s="339">
        <f t="shared" si="16"/>
        <v>1.627906976744186E-2</v>
      </c>
      <c r="AA26" s="340">
        <f t="shared" si="23"/>
        <v>-8.4353488372093E-2</v>
      </c>
      <c r="AB26" s="341">
        <f t="shared" si="34"/>
        <v>-0.18604651162790697</v>
      </c>
      <c r="AH26" s="342"/>
      <c r="AI26" s="342"/>
      <c r="AL26" s="154">
        <f t="shared" si="38"/>
        <v>20.329999999999998</v>
      </c>
      <c r="AM26" s="304">
        <f t="shared" si="39"/>
        <v>0.47279069767441856</v>
      </c>
      <c r="AN26" s="155">
        <f t="shared" si="25"/>
        <v>0</v>
      </c>
      <c r="AP26" s="304"/>
      <c r="AQ26" s="305">
        <f t="shared" si="40"/>
        <v>12547.58139534884</v>
      </c>
      <c r="AT26" s="304">
        <f t="shared" si="41"/>
        <v>0.45340000000000003</v>
      </c>
    </row>
    <row r="27" spans="2:51" x14ac:dyDescent="0.25">
      <c r="B27" s="360">
        <f>B26+1</f>
        <v>44</v>
      </c>
      <c r="C27" s="278">
        <f t="shared" si="37"/>
        <v>0.70000000000000007</v>
      </c>
      <c r="D27" s="333"/>
      <c r="E27" s="279">
        <f t="shared" si="0"/>
        <v>23.67</v>
      </c>
      <c r="F27" s="280">
        <f t="shared" si="28"/>
        <v>0.53795454545454546</v>
      </c>
      <c r="G27" s="281">
        <f t="shared" ref="G27:G37" si="42">$B$7/B27</f>
        <v>0.46204545454545448</v>
      </c>
      <c r="H27" s="282">
        <f t="shared" si="13"/>
        <v>1</v>
      </c>
      <c r="I27" s="285"/>
      <c r="J27" s="283">
        <f t="shared" si="3"/>
        <v>0.47340000000000004</v>
      </c>
      <c r="K27" s="284">
        <f t="shared" si="14"/>
        <v>0.02</v>
      </c>
      <c r="L27" s="285"/>
      <c r="M27" s="286">
        <f t="shared" si="36"/>
        <v>0.37656818181818186</v>
      </c>
      <c r="N27" s="329">
        <f t="shared" si="30"/>
        <v>1.5909090909090911E-2</v>
      </c>
      <c r="O27" s="288"/>
      <c r="P27" s="289">
        <f t="shared" si="31"/>
        <v>0.22660000000000002</v>
      </c>
      <c r="Q27" s="306">
        <f t="shared" si="32"/>
        <v>0.02</v>
      </c>
      <c r="R27" s="291"/>
      <c r="S27" s="292">
        <f t="shared" si="33"/>
        <v>0.32343181818181815</v>
      </c>
      <c r="T27" s="337">
        <f t="shared" si="8"/>
        <v>1.5909090909090907E-2</v>
      </c>
      <c r="U27" s="338"/>
      <c r="V27" s="298">
        <f t="shared" si="10"/>
        <v>0.88</v>
      </c>
      <c r="W27" s="293">
        <f t="shared" si="22"/>
        <v>0.7</v>
      </c>
      <c r="X27" s="338"/>
      <c r="Y27" s="325">
        <f t="shared" si="15"/>
        <v>0.02</v>
      </c>
      <c r="Z27" s="339">
        <f t="shared" si="16"/>
        <v>1.5909090909090911E-2</v>
      </c>
      <c r="AA27" s="340">
        <f t="shared" si="23"/>
        <v>-9.6831818181818186E-2</v>
      </c>
      <c r="AB27" s="341">
        <f t="shared" si="34"/>
        <v>-0.20454545454545447</v>
      </c>
      <c r="AH27" s="342"/>
      <c r="AI27" s="342"/>
      <c r="AL27" s="154">
        <f t="shared" si="38"/>
        <v>20.329999999999998</v>
      </c>
      <c r="AM27" s="304">
        <f t="shared" si="39"/>
        <v>0.46204545454545448</v>
      </c>
      <c r="AN27" s="155">
        <f t="shared" si="25"/>
        <v>0</v>
      </c>
      <c r="AP27" s="304"/>
      <c r="AQ27" s="305">
        <f t="shared" si="40"/>
        <v>12803.318181818184</v>
      </c>
      <c r="AT27" s="304">
        <f t="shared" si="41"/>
        <v>0.47340000000000004</v>
      </c>
    </row>
    <row r="28" spans="2:51" x14ac:dyDescent="0.25">
      <c r="B28" s="360">
        <f>B27+1</f>
        <v>45</v>
      </c>
      <c r="C28" s="278">
        <f t="shared" si="37"/>
        <v>0.70000000000000007</v>
      </c>
      <c r="D28" s="333"/>
      <c r="E28" s="279">
        <f t="shared" si="0"/>
        <v>24.67</v>
      </c>
      <c r="F28" s="280">
        <f t="shared" si="28"/>
        <v>0.54822222222222228</v>
      </c>
      <c r="G28" s="281">
        <f t="shared" si="42"/>
        <v>0.45177777777777772</v>
      </c>
      <c r="H28" s="282">
        <f t="shared" si="13"/>
        <v>1</v>
      </c>
      <c r="I28" s="285"/>
      <c r="J28" s="283">
        <f t="shared" si="3"/>
        <v>0.49340000000000006</v>
      </c>
      <c r="K28" s="284">
        <f t="shared" si="14"/>
        <v>0.02</v>
      </c>
      <c r="L28" s="285"/>
      <c r="M28" s="286">
        <f t="shared" si="36"/>
        <v>0.38375555555555563</v>
      </c>
      <c r="N28" s="329">
        <f t="shared" si="30"/>
        <v>1.5555555555555557E-2</v>
      </c>
      <c r="O28" s="288"/>
      <c r="P28" s="289">
        <f t="shared" si="31"/>
        <v>0.20660000000000001</v>
      </c>
      <c r="Q28" s="306">
        <f t="shared" si="32"/>
        <v>0.02</v>
      </c>
      <c r="R28" s="291"/>
      <c r="S28" s="292">
        <f t="shared" si="33"/>
        <v>0.31624444444444444</v>
      </c>
      <c r="T28" s="337">
        <f t="shared" si="8"/>
        <v>1.5555555555555557E-2</v>
      </c>
      <c r="U28" s="338"/>
      <c r="V28" s="298">
        <f t="shared" si="10"/>
        <v>0.9</v>
      </c>
      <c r="W28" s="293">
        <f t="shared" si="22"/>
        <v>0.70000000000000007</v>
      </c>
      <c r="X28" s="338"/>
      <c r="Y28" s="299">
        <f t="shared" si="15"/>
        <v>0.02</v>
      </c>
      <c r="Z28" s="339">
        <f t="shared" si="16"/>
        <v>1.5555555555555557E-2</v>
      </c>
      <c r="AA28" s="340">
        <f t="shared" si="23"/>
        <v>-0.10964444444444443</v>
      </c>
      <c r="AB28" s="341">
        <f t="shared" si="34"/>
        <v>-0.22222222222222221</v>
      </c>
      <c r="AH28" s="342"/>
      <c r="AI28" s="342"/>
      <c r="AL28" s="154">
        <f t="shared" si="38"/>
        <v>20.329999999999998</v>
      </c>
      <c r="AM28" s="304">
        <f t="shared" si="39"/>
        <v>0.45177777777777772</v>
      </c>
      <c r="AN28" s="155">
        <f t="shared" si="25"/>
        <v>0</v>
      </c>
      <c r="AP28" s="304"/>
      <c r="AQ28" s="305">
        <f t="shared" si="40"/>
        <v>13047.688888888892</v>
      </c>
      <c r="AT28" s="304">
        <f t="shared" si="41"/>
        <v>0.49340000000000006</v>
      </c>
    </row>
    <row r="29" spans="2:51" x14ac:dyDescent="0.25">
      <c r="B29" s="360">
        <f t="shared" ref="B29:B33" si="43">B28+1</f>
        <v>46</v>
      </c>
      <c r="C29" s="278">
        <f t="shared" si="37"/>
        <v>0.70000000000000007</v>
      </c>
      <c r="D29" s="333"/>
      <c r="E29" s="279">
        <f t="shared" si="0"/>
        <v>25.67</v>
      </c>
      <c r="F29" s="280">
        <f t="shared" si="28"/>
        <v>0.55804347826086964</v>
      </c>
      <c r="G29" s="281">
        <f t="shared" si="42"/>
        <v>0.44195652173913041</v>
      </c>
      <c r="H29" s="282">
        <f t="shared" si="13"/>
        <v>1</v>
      </c>
      <c r="I29" s="285"/>
      <c r="J29" s="283">
        <f t="shared" si="3"/>
        <v>0.51340000000000008</v>
      </c>
      <c r="K29" s="284">
        <f t="shared" si="14"/>
        <v>0.02</v>
      </c>
      <c r="L29" s="285"/>
      <c r="M29" s="286">
        <f t="shared" si="36"/>
        <v>0.39063043478260878</v>
      </c>
      <c r="N29" s="329">
        <f t="shared" si="30"/>
        <v>1.5217391304347828E-2</v>
      </c>
      <c r="O29" s="288"/>
      <c r="P29" s="289">
        <f t="shared" si="31"/>
        <v>0.18659999999999999</v>
      </c>
      <c r="Q29" s="306">
        <f t="shared" si="32"/>
        <v>0.02</v>
      </c>
      <c r="R29" s="291"/>
      <c r="S29" s="292">
        <f t="shared" si="33"/>
        <v>0.30936956521739134</v>
      </c>
      <c r="T29" s="337">
        <f t="shared" si="8"/>
        <v>1.5217391304347828E-2</v>
      </c>
      <c r="U29" s="338"/>
      <c r="V29" s="298">
        <f t="shared" si="10"/>
        <v>0.92</v>
      </c>
      <c r="W29" s="293">
        <f t="shared" si="22"/>
        <v>0.70000000000000018</v>
      </c>
      <c r="X29" s="338"/>
      <c r="Y29" s="299">
        <f t="shared" si="15"/>
        <v>0.02</v>
      </c>
      <c r="Z29" s="339">
        <f t="shared" si="16"/>
        <v>1.5217391304347828E-2</v>
      </c>
      <c r="AA29" s="340">
        <f t="shared" si="23"/>
        <v>-0.1227695652173913</v>
      </c>
      <c r="AB29" s="341">
        <f t="shared" si="34"/>
        <v>-0.23913043478260865</v>
      </c>
      <c r="AH29" s="342"/>
      <c r="AI29" s="342"/>
      <c r="AL29" s="154">
        <f t="shared" si="38"/>
        <v>20.329999999999998</v>
      </c>
      <c r="AM29" s="304">
        <f t="shared" si="39"/>
        <v>0.44195652173913041</v>
      </c>
      <c r="AN29" s="155">
        <f t="shared" si="25"/>
        <v>0</v>
      </c>
      <c r="AP29" s="304"/>
      <c r="AQ29" s="305">
        <f t="shared" si="40"/>
        <v>13281.434782608698</v>
      </c>
      <c r="AT29" s="304">
        <f t="shared" si="41"/>
        <v>0.51340000000000008</v>
      </c>
    </row>
    <row r="30" spans="2:51" x14ac:dyDescent="0.25">
      <c r="B30" s="360">
        <f t="shared" si="43"/>
        <v>47</v>
      </c>
      <c r="C30" s="278">
        <f t="shared" si="37"/>
        <v>0.70000000000000007</v>
      </c>
      <c r="D30" s="333"/>
      <c r="E30" s="279">
        <f t="shared" si="0"/>
        <v>26.67</v>
      </c>
      <c r="F30" s="280">
        <f t="shared" si="28"/>
        <v>0.56744680851063833</v>
      </c>
      <c r="G30" s="281">
        <f t="shared" si="42"/>
        <v>0.43255319148936167</v>
      </c>
      <c r="H30" s="282">
        <f t="shared" si="13"/>
        <v>1</v>
      </c>
      <c r="I30" s="285"/>
      <c r="J30" s="283">
        <f t="shared" si="3"/>
        <v>0.5334000000000001</v>
      </c>
      <c r="K30" s="284">
        <f t="shared" si="14"/>
        <v>2.0000000000000004E-2</v>
      </c>
      <c r="L30" s="285"/>
      <c r="M30" s="286">
        <f t="shared" si="36"/>
        <v>0.39721276595744687</v>
      </c>
      <c r="N30" s="329">
        <f t="shared" si="30"/>
        <v>1.4893617021276596E-2</v>
      </c>
      <c r="O30" s="288"/>
      <c r="P30" s="289">
        <f t="shared" si="31"/>
        <v>0.16659999999999997</v>
      </c>
      <c r="Q30" s="306">
        <f t="shared" si="32"/>
        <v>0.02</v>
      </c>
      <c r="R30" s="291"/>
      <c r="S30" s="292">
        <f t="shared" si="33"/>
        <v>0.3027872340425532</v>
      </c>
      <c r="T30" s="337">
        <f t="shared" si="8"/>
        <v>1.4893617021276598E-2</v>
      </c>
      <c r="U30" s="338"/>
      <c r="V30" s="298">
        <f t="shared" si="10"/>
        <v>0.94000000000000006</v>
      </c>
      <c r="W30" s="293">
        <f t="shared" si="22"/>
        <v>0.70000000000000007</v>
      </c>
      <c r="X30" s="338"/>
      <c r="Y30" s="299">
        <f t="shared" si="15"/>
        <v>2.0000000000000004E-2</v>
      </c>
      <c r="Z30" s="339">
        <f t="shared" si="16"/>
        <v>1.4893617021276596E-2</v>
      </c>
      <c r="AA30" s="340">
        <f t="shared" si="23"/>
        <v>-0.13618723404255323</v>
      </c>
      <c r="AB30" s="341">
        <f t="shared" si="34"/>
        <v>-0.25531914893617025</v>
      </c>
      <c r="AH30" s="342"/>
      <c r="AI30" s="342"/>
      <c r="AL30" s="154">
        <f t="shared" si="38"/>
        <v>20.329999999999998</v>
      </c>
      <c r="AM30" s="304">
        <f t="shared" si="39"/>
        <v>0.43255319148936167</v>
      </c>
      <c r="AN30" s="155">
        <f t="shared" si="25"/>
        <v>0</v>
      </c>
      <c r="AP30" s="304"/>
      <c r="AQ30" s="305">
        <f t="shared" si="40"/>
        <v>13505.234042553193</v>
      </c>
      <c r="AT30" s="304">
        <f t="shared" si="41"/>
        <v>0.5334000000000001</v>
      </c>
    </row>
    <row r="31" spans="2:51" x14ac:dyDescent="0.25">
      <c r="B31" s="360">
        <f t="shared" si="43"/>
        <v>48</v>
      </c>
      <c r="C31" s="278">
        <f t="shared" si="37"/>
        <v>0.70000000000000007</v>
      </c>
      <c r="D31" s="333"/>
      <c r="E31" s="279">
        <f t="shared" si="0"/>
        <v>27.67</v>
      </c>
      <c r="F31" s="280">
        <f t="shared" si="28"/>
        <v>0.57645833333333341</v>
      </c>
      <c r="G31" s="281">
        <f t="shared" si="42"/>
        <v>0.42354166666666665</v>
      </c>
      <c r="H31" s="282">
        <f t="shared" si="13"/>
        <v>1</v>
      </c>
      <c r="I31" s="285"/>
      <c r="J31" s="283">
        <f t="shared" si="3"/>
        <v>0.5534</v>
      </c>
      <c r="K31" s="284">
        <f t="shared" si="14"/>
        <v>0.02</v>
      </c>
      <c r="L31" s="285"/>
      <c r="M31" s="286">
        <f t="shared" si="36"/>
        <v>0.40352083333333344</v>
      </c>
      <c r="N31" s="329">
        <f t="shared" si="30"/>
        <v>1.4583333333333337E-2</v>
      </c>
      <c r="O31" s="288"/>
      <c r="P31" s="289">
        <f t="shared" si="31"/>
        <v>0.14660000000000006</v>
      </c>
      <c r="Q31" s="306">
        <f t="shared" si="32"/>
        <v>0.02</v>
      </c>
      <c r="R31" s="291"/>
      <c r="S31" s="292">
        <f t="shared" si="33"/>
        <v>0.29647916666666668</v>
      </c>
      <c r="T31" s="337">
        <f t="shared" si="8"/>
        <v>1.4583333333333335E-2</v>
      </c>
      <c r="U31" s="338"/>
      <c r="V31" s="298">
        <f t="shared" si="10"/>
        <v>0.96</v>
      </c>
      <c r="W31" s="293">
        <f t="shared" si="22"/>
        <v>0.70000000000000018</v>
      </c>
      <c r="X31" s="338"/>
      <c r="Y31" s="299">
        <f t="shared" si="15"/>
        <v>0.02</v>
      </c>
      <c r="Z31" s="339">
        <f t="shared" si="16"/>
        <v>1.4583333333333337E-2</v>
      </c>
      <c r="AA31" s="340">
        <f t="shared" si="23"/>
        <v>-0.14987916666666656</v>
      </c>
      <c r="AB31" s="341">
        <f t="shared" si="34"/>
        <v>-0.27083333333333315</v>
      </c>
      <c r="AH31" s="342"/>
      <c r="AI31" s="342"/>
      <c r="AL31" s="154">
        <f t="shared" si="38"/>
        <v>20.329999999999998</v>
      </c>
      <c r="AM31" s="304">
        <f t="shared" si="39"/>
        <v>0.42354166666666665</v>
      </c>
      <c r="AN31" s="155">
        <f t="shared" si="25"/>
        <v>0</v>
      </c>
      <c r="AP31" s="304"/>
      <c r="AQ31" s="305">
        <f t="shared" si="40"/>
        <v>13719.708333333338</v>
      </c>
      <c r="AT31" s="304">
        <f t="shared" si="41"/>
        <v>0.5534</v>
      </c>
    </row>
    <row r="32" spans="2:51" x14ac:dyDescent="0.25">
      <c r="B32" s="360">
        <f t="shared" si="43"/>
        <v>49</v>
      </c>
      <c r="C32" s="278">
        <f t="shared" si="37"/>
        <v>0.70000000000000007</v>
      </c>
      <c r="D32" s="333"/>
      <c r="E32" s="279">
        <f t="shared" si="0"/>
        <v>28.67</v>
      </c>
      <c r="F32" s="280">
        <f t="shared" si="28"/>
        <v>0.58510204081632655</v>
      </c>
      <c r="G32" s="281">
        <f t="shared" si="42"/>
        <v>0.41489795918367345</v>
      </c>
      <c r="H32" s="282">
        <f t="shared" si="13"/>
        <v>1</v>
      </c>
      <c r="I32" s="285"/>
      <c r="J32" s="283">
        <f t="shared" si="3"/>
        <v>0.57340000000000002</v>
      </c>
      <c r="K32" s="284">
        <f t="shared" si="14"/>
        <v>0.02</v>
      </c>
      <c r="L32" s="285"/>
      <c r="M32" s="286">
        <f t="shared" si="36"/>
        <v>0.40957142857142864</v>
      </c>
      <c r="N32" s="329">
        <f t="shared" si="30"/>
        <v>1.4285714285714287E-2</v>
      </c>
      <c r="O32" s="288"/>
      <c r="P32" s="289">
        <f t="shared" si="31"/>
        <v>0.12660000000000005</v>
      </c>
      <c r="Q32" s="306">
        <f t="shared" si="32"/>
        <v>0.02</v>
      </c>
      <c r="R32" s="291"/>
      <c r="S32" s="292">
        <f t="shared" si="33"/>
        <v>0.29042857142857142</v>
      </c>
      <c r="T32" s="337">
        <f t="shared" si="8"/>
        <v>1.4285714285714287E-2</v>
      </c>
      <c r="U32" s="338"/>
      <c r="V32" s="298">
        <f t="shared" si="10"/>
        <v>0.98</v>
      </c>
      <c r="W32" s="293">
        <f t="shared" si="22"/>
        <v>0.70000000000000007</v>
      </c>
      <c r="X32" s="338"/>
      <c r="Y32" s="299">
        <f t="shared" si="15"/>
        <v>0.02</v>
      </c>
      <c r="Z32" s="339">
        <f t="shared" si="16"/>
        <v>1.4285714285714287E-2</v>
      </c>
      <c r="AA32" s="340">
        <f t="shared" si="23"/>
        <v>-0.16382857142857138</v>
      </c>
      <c r="AB32" s="341">
        <f t="shared" si="34"/>
        <v>-0.2857142857142857</v>
      </c>
      <c r="AH32" s="342"/>
      <c r="AI32" s="342"/>
      <c r="AL32" s="154">
        <f t="shared" si="38"/>
        <v>20.329999999999998</v>
      </c>
      <c r="AM32" s="304">
        <f t="shared" si="39"/>
        <v>0.41489795918367345</v>
      </c>
      <c r="AN32" s="155">
        <f t="shared" si="25"/>
        <v>0</v>
      </c>
      <c r="AP32" s="304"/>
      <c r="AQ32" s="305">
        <f t="shared" si="40"/>
        <v>13925.428571428574</v>
      </c>
      <c r="AT32" s="304">
        <f t="shared" si="41"/>
        <v>0.57340000000000002</v>
      </c>
    </row>
    <row r="33" spans="2:46" x14ac:dyDescent="0.25">
      <c r="B33" s="360">
        <f t="shared" si="43"/>
        <v>50</v>
      </c>
      <c r="C33" s="278">
        <f t="shared" si="37"/>
        <v>0.70000000000000007</v>
      </c>
      <c r="D33" s="333"/>
      <c r="E33" s="279">
        <f t="shared" si="0"/>
        <v>29.67</v>
      </c>
      <c r="F33" s="280">
        <f t="shared" si="28"/>
        <v>0.59340000000000004</v>
      </c>
      <c r="G33" s="281">
        <f t="shared" si="42"/>
        <v>0.40659999999999996</v>
      </c>
      <c r="H33" s="282">
        <f t="shared" si="13"/>
        <v>1</v>
      </c>
      <c r="I33" s="285"/>
      <c r="J33" s="283">
        <f t="shared" si="3"/>
        <v>0.59340000000000004</v>
      </c>
      <c r="K33" s="284">
        <f t="shared" si="14"/>
        <v>0.02</v>
      </c>
      <c r="L33" s="285"/>
      <c r="M33" s="286">
        <f t="shared" si="36"/>
        <v>0.41538000000000008</v>
      </c>
      <c r="N33" s="329">
        <f t="shared" si="30"/>
        <v>1.4000000000000002E-2</v>
      </c>
      <c r="O33" s="288"/>
      <c r="P33" s="289">
        <f t="shared" si="31"/>
        <v>0.10660000000000003</v>
      </c>
      <c r="Q33" s="306">
        <f t="shared" si="32"/>
        <v>0.02</v>
      </c>
      <c r="R33" s="291"/>
      <c r="S33" s="292">
        <f t="shared" si="33"/>
        <v>0.28461999999999998</v>
      </c>
      <c r="T33" s="337">
        <f t="shared" si="8"/>
        <v>1.4E-2</v>
      </c>
      <c r="U33" s="338"/>
      <c r="V33" s="298">
        <f t="shared" si="10"/>
        <v>1</v>
      </c>
      <c r="W33" s="293">
        <f t="shared" si="22"/>
        <v>0.70000000000000007</v>
      </c>
      <c r="X33" s="338"/>
      <c r="Y33" s="325">
        <f t="shared" si="15"/>
        <v>0.02</v>
      </c>
      <c r="Z33" s="339">
        <f t="shared" si="16"/>
        <v>1.4000000000000002E-2</v>
      </c>
      <c r="AA33" s="340">
        <f t="shared" si="23"/>
        <v>-0.17801999999999996</v>
      </c>
      <c r="AB33" s="341">
        <f t="shared" si="34"/>
        <v>-0.29999999999999993</v>
      </c>
      <c r="AH33" s="342"/>
      <c r="AI33" s="342"/>
      <c r="AL33" s="154">
        <f t="shared" si="38"/>
        <v>20.329999999999998</v>
      </c>
      <c r="AM33" s="304">
        <f t="shared" si="39"/>
        <v>0.40659999999999996</v>
      </c>
      <c r="AN33" s="155">
        <f t="shared" si="25"/>
        <v>0</v>
      </c>
      <c r="AP33" s="304"/>
      <c r="AQ33" s="305">
        <f t="shared" si="40"/>
        <v>14122.920000000004</v>
      </c>
      <c r="AT33" s="304">
        <f t="shared" si="41"/>
        <v>0.59340000000000004</v>
      </c>
    </row>
    <row r="34" spans="2:46" x14ac:dyDescent="0.25">
      <c r="B34" s="203">
        <v>55</v>
      </c>
      <c r="C34" s="278">
        <f t="shared" si="37"/>
        <v>0.70000000000000007</v>
      </c>
      <c r="D34" s="333"/>
      <c r="E34" s="279">
        <f t="shared" si="0"/>
        <v>34.67</v>
      </c>
      <c r="F34" s="280">
        <f t="shared" si="28"/>
        <v>0.63036363636363635</v>
      </c>
      <c r="G34" s="281">
        <f t="shared" si="42"/>
        <v>0.3696363636363636</v>
      </c>
      <c r="H34" s="282">
        <f t="shared" si="13"/>
        <v>1</v>
      </c>
      <c r="I34" s="285"/>
      <c r="J34" s="283">
        <f t="shared" si="3"/>
        <v>0.69340000000000002</v>
      </c>
      <c r="K34" s="284">
        <f t="shared" si="14"/>
        <v>0.02</v>
      </c>
      <c r="L34" s="285"/>
      <c r="M34" s="286">
        <f t="shared" si="36"/>
        <v>0.44125454545454551</v>
      </c>
      <c r="N34" s="329">
        <f t="shared" si="30"/>
        <v>1.2727272727272728E-2</v>
      </c>
      <c r="O34" s="288"/>
      <c r="P34" s="289">
        <f t="shared" si="31"/>
        <v>6.6000000000000503E-3</v>
      </c>
      <c r="Q34" s="290">
        <f t="shared" si="6"/>
        <v>3.2464338416134044E-4</v>
      </c>
      <c r="R34" s="291"/>
      <c r="S34" s="292">
        <f t="shared" si="33"/>
        <v>0.25874545454545456</v>
      </c>
      <c r="T34" s="337">
        <f t="shared" si="8"/>
        <v>1.2727272727272729E-2</v>
      </c>
      <c r="U34" s="338"/>
      <c r="V34" s="298">
        <f t="shared" si="10"/>
        <v>1.7855386128873725E-2</v>
      </c>
      <c r="W34" s="293">
        <f t="shared" si="22"/>
        <v>0.70000000000000007</v>
      </c>
      <c r="X34" s="338"/>
      <c r="Y34" s="299">
        <f t="shared" si="15"/>
        <v>0.02</v>
      </c>
      <c r="Z34" s="339">
        <f t="shared" si="16"/>
        <v>1.2727272727272728E-2</v>
      </c>
      <c r="AA34" s="340">
        <f t="shared" si="23"/>
        <v>-0.25214545454545451</v>
      </c>
      <c r="AB34" s="341">
        <f t="shared" si="34"/>
        <v>-0.36363636363636365</v>
      </c>
      <c r="AH34" s="342"/>
    </row>
    <row r="35" spans="2:46" x14ac:dyDescent="0.25">
      <c r="B35" s="203">
        <v>60</v>
      </c>
      <c r="C35" s="278">
        <f t="shared" si="37"/>
        <v>0.70000000000000007</v>
      </c>
      <c r="D35" s="333"/>
      <c r="E35" s="279">
        <f t="shared" si="0"/>
        <v>39.67</v>
      </c>
      <c r="F35" s="280">
        <f t="shared" si="28"/>
        <v>0.66116666666666668</v>
      </c>
      <c r="G35" s="281">
        <f t="shared" si="42"/>
        <v>0.33883333333333332</v>
      </c>
      <c r="H35" s="282">
        <f t="shared" si="13"/>
        <v>1</v>
      </c>
      <c r="I35" s="285"/>
      <c r="J35" s="283">
        <f t="shared" si="3"/>
        <v>0.79340000000000011</v>
      </c>
      <c r="K35" s="284">
        <f t="shared" si="14"/>
        <v>0.02</v>
      </c>
      <c r="L35" s="285"/>
      <c r="M35" s="286">
        <f t="shared" si="36"/>
        <v>0.46281666666666671</v>
      </c>
      <c r="N35" s="329">
        <f t="shared" si="30"/>
        <v>1.1666666666666667E-2</v>
      </c>
      <c r="O35" s="288"/>
      <c r="P35" s="289">
        <f t="shared" si="31"/>
        <v>-9.3400000000000039E-2</v>
      </c>
      <c r="Q35" s="290">
        <f t="shared" si="6"/>
        <v>-4.5941957697983298E-3</v>
      </c>
      <c r="R35" s="291"/>
      <c r="S35" s="292">
        <f t="shared" si="33"/>
        <v>0.23718333333333336</v>
      </c>
      <c r="T35" s="337">
        <f t="shared" si="8"/>
        <v>1.1666666666666669E-2</v>
      </c>
      <c r="U35" s="338"/>
      <c r="V35" s="298">
        <f t="shared" si="10"/>
        <v>-0.27565174618789978</v>
      </c>
      <c r="W35" s="293">
        <f t="shared" si="22"/>
        <v>0.70000000000000007</v>
      </c>
      <c r="X35" s="338"/>
      <c r="Y35" s="299">
        <f t="shared" si="15"/>
        <v>0.02</v>
      </c>
      <c r="Z35" s="339">
        <f t="shared" si="16"/>
        <v>1.1666666666666667E-2</v>
      </c>
      <c r="AA35" s="340">
        <f t="shared" si="23"/>
        <v>-0.3305833333333334</v>
      </c>
      <c r="AB35" s="341">
        <f t="shared" si="34"/>
        <v>-0.41666666666666663</v>
      </c>
      <c r="AH35" s="342"/>
    </row>
    <row r="36" spans="2:46" x14ac:dyDescent="0.25">
      <c r="B36" s="203">
        <v>65</v>
      </c>
      <c r="C36" s="278">
        <f t="shared" si="37"/>
        <v>0.70000000000000007</v>
      </c>
      <c r="D36" s="333"/>
      <c r="E36" s="279">
        <f t="shared" si="0"/>
        <v>44.67</v>
      </c>
      <c r="F36" s="280">
        <f t="shared" si="28"/>
        <v>0.68723076923076931</v>
      </c>
      <c r="G36" s="281">
        <f t="shared" si="42"/>
        <v>0.31276923076923074</v>
      </c>
      <c r="H36" s="282">
        <f t="shared" si="13"/>
        <v>1</v>
      </c>
      <c r="I36" s="285"/>
      <c r="J36" s="283">
        <f t="shared" si="3"/>
        <v>0.89340000000000008</v>
      </c>
      <c r="K36" s="284">
        <f t="shared" si="14"/>
        <v>0.02</v>
      </c>
      <c r="L36" s="285"/>
      <c r="M36" s="286">
        <f t="shared" si="36"/>
        <v>0.48106153846153854</v>
      </c>
      <c r="N36" s="329">
        <f t="shared" si="30"/>
        <v>1.0769230769230771E-2</v>
      </c>
      <c r="O36" s="288"/>
      <c r="P36" s="289">
        <f t="shared" si="31"/>
        <v>-0.19340000000000002</v>
      </c>
      <c r="Q36" s="290">
        <f t="shared" si="6"/>
        <v>-9.5130349237579955E-3</v>
      </c>
      <c r="R36" s="291"/>
      <c r="S36" s="292">
        <f t="shared" si="33"/>
        <v>0.21893846153846155</v>
      </c>
      <c r="T36" s="337">
        <f t="shared" si="8"/>
        <v>1.0769230769230771E-2</v>
      </c>
      <c r="U36" s="338"/>
      <c r="V36" s="298">
        <f t="shared" si="10"/>
        <v>-0.6183472700442697</v>
      </c>
      <c r="W36" s="293">
        <f t="shared" si="22"/>
        <v>0.70000000000000007</v>
      </c>
      <c r="X36" s="338"/>
      <c r="Y36" s="299">
        <f t="shared" si="15"/>
        <v>0.02</v>
      </c>
      <c r="Z36" s="339">
        <f t="shared" si="16"/>
        <v>1.0769230769230771E-2</v>
      </c>
      <c r="AA36" s="340">
        <f t="shared" si="23"/>
        <v>-0.41233846153846154</v>
      </c>
      <c r="AB36" s="341">
        <f t="shared" si="34"/>
        <v>-0.46153846153846145</v>
      </c>
      <c r="AH36" s="342"/>
    </row>
    <row r="37" spans="2:46" ht="14.4" thickBot="1" x14ac:dyDescent="0.3">
      <c r="B37" s="203">
        <v>70</v>
      </c>
      <c r="C37" s="278">
        <f t="shared" si="37"/>
        <v>0.70000000000000007</v>
      </c>
      <c r="D37" s="333"/>
      <c r="E37" s="265">
        <f t="shared" si="0"/>
        <v>49.67</v>
      </c>
      <c r="F37" s="361">
        <f t="shared" si="28"/>
        <v>0.70957142857142863</v>
      </c>
      <c r="G37" s="362">
        <f t="shared" si="42"/>
        <v>0.29042857142857142</v>
      </c>
      <c r="H37" s="363">
        <f t="shared" si="13"/>
        <v>1</v>
      </c>
      <c r="I37" s="285"/>
      <c r="J37" s="283">
        <f t="shared" si="3"/>
        <v>0.99340000000000006</v>
      </c>
      <c r="K37" s="284">
        <f t="shared" si="14"/>
        <v>0.02</v>
      </c>
      <c r="L37" s="285"/>
      <c r="M37" s="286">
        <f t="shared" si="36"/>
        <v>0.49670000000000009</v>
      </c>
      <c r="N37" s="364">
        <f t="shared" si="30"/>
        <v>1.0000000000000002E-2</v>
      </c>
      <c r="O37" s="288"/>
      <c r="P37" s="289">
        <f t="shared" si="31"/>
        <v>-0.29339999999999999</v>
      </c>
      <c r="Q37" s="290">
        <f t="shared" si="6"/>
        <v>-1.4431874077717659E-2</v>
      </c>
      <c r="R37" s="291"/>
      <c r="S37" s="292">
        <f t="shared" si="33"/>
        <v>0.20330000000000001</v>
      </c>
      <c r="T37" s="337">
        <f t="shared" si="8"/>
        <v>1.0000000000000002E-2</v>
      </c>
      <c r="U37" s="338"/>
      <c r="V37" s="298">
        <f t="shared" si="10"/>
        <v>-1.0102311854402362</v>
      </c>
      <c r="W37" s="293">
        <f t="shared" si="22"/>
        <v>0.70000000000000007</v>
      </c>
      <c r="X37" s="338"/>
      <c r="Y37" s="299">
        <f t="shared" si="15"/>
        <v>0.02</v>
      </c>
      <c r="Z37" s="339">
        <f t="shared" si="16"/>
        <v>1.0000000000000002E-2</v>
      </c>
      <c r="AA37" s="340">
        <f t="shared" si="23"/>
        <v>-0.49669999999999997</v>
      </c>
      <c r="AB37" s="341">
        <f t="shared" si="34"/>
        <v>-0.49999999999999989</v>
      </c>
      <c r="AH37" s="342"/>
    </row>
    <row r="38" spans="2:46" x14ac:dyDescent="0.25">
      <c r="B38" s="155"/>
      <c r="C38" s="333"/>
      <c r="D38" s="333"/>
      <c r="AB38" s="225"/>
    </row>
    <row r="40" spans="2:46" x14ac:dyDescent="0.25">
      <c r="J40" s="285" t="s">
        <v>20</v>
      </c>
      <c r="K40" s="285"/>
      <c r="L40" s="285"/>
      <c r="M40" s="288" t="s">
        <v>20</v>
      </c>
      <c r="N40" s="28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1CE6-5E3B-45D6-8FF4-0CFCD94401C0}">
  <sheetPr codeName="גיליון6"/>
  <dimension ref="A1:K35"/>
  <sheetViews>
    <sheetView rightToLeft="1" tabSelected="1" topLeftCell="A4" zoomScale="85" zoomScaleNormal="85" workbookViewId="0">
      <selection activeCell="A12" sqref="A12:XFD12"/>
    </sheetView>
  </sheetViews>
  <sheetFormatPr defaultRowHeight="13.85" x14ac:dyDescent="0.25"/>
  <cols>
    <col min="1" max="1" width="28.88671875" style="489" customWidth="1"/>
    <col min="2" max="2" width="28.88671875" style="459" customWidth="1"/>
    <col min="3" max="3" width="27.77734375" style="154" customWidth="1"/>
    <col min="4" max="4" width="57.109375" style="154" customWidth="1"/>
    <col min="5" max="5" width="22.88671875" style="154" customWidth="1"/>
    <col min="6" max="6" width="15.21875" style="154" customWidth="1"/>
    <col min="7" max="10" width="8.88671875" style="154"/>
    <col min="11" max="11" width="11.5546875" style="154" bestFit="1" customWidth="1"/>
    <col min="12" max="13" width="8.88671875" style="154"/>
    <col min="14" max="14" width="17.21875" style="154" customWidth="1"/>
    <col min="15" max="16384" width="8.88671875" style="154"/>
  </cols>
  <sheetData>
    <row r="1" spans="1:11" x14ac:dyDescent="0.25">
      <c r="A1" s="489" t="s">
        <v>128</v>
      </c>
      <c r="B1" s="458" t="s">
        <v>4</v>
      </c>
      <c r="C1" s="458" t="s">
        <v>91</v>
      </c>
      <c r="D1" s="458"/>
      <c r="E1" s="225"/>
      <c r="F1" s="225"/>
      <c r="G1" s="225"/>
      <c r="H1" s="225"/>
      <c r="I1" s="225"/>
      <c r="J1" s="225"/>
      <c r="K1" s="225"/>
    </row>
    <row r="2" spans="1:11" x14ac:dyDescent="0.25">
      <c r="A2" s="489">
        <f>'פנסיה כ.מינוי+חוזה (4)'!B16</f>
        <v>35</v>
      </c>
      <c r="B2" s="458">
        <v>0.02</v>
      </c>
      <c r="C2" s="458">
        <f>'פנסיה כ.מינוי+חוזה (4)'!N16</f>
        <v>0.02</v>
      </c>
      <c r="D2" s="458"/>
      <c r="E2" s="225"/>
      <c r="F2" s="225"/>
      <c r="G2" s="225"/>
      <c r="H2" s="225"/>
      <c r="I2" s="225"/>
      <c r="J2" s="225"/>
      <c r="K2" s="225"/>
    </row>
    <row r="3" spans="1:11" x14ac:dyDescent="0.25">
      <c r="A3" s="369">
        <f>'פנסיה כ.מינוי+חוזה (4)'!B17</f>
        <v>35.33</v>
      </c>
      <c r="B3" s="458">
        <v>0.02</v>
      </c>
      <c r="C3" s="458">
        <f>'פנסיה כ.מינוי+חוזה (4)'!N17</f>
        <v>1.9813189923577699E-2</v>
      </c>
      <c r="D3" s="458"/>
      <c r="E3" s="225"/>
      <c r="F3" s="225"/>
      <c r="G3" s="225"/>
      <c r="H3" s="225"/>
      <c r="I3" s="225"/>
      <c r="J3" s="225"/>
      <c r="K3" s="225"/>
    </row>
    <row r="4" spans="1:11" x14ac:dyDescent="0.25">
      <c r="A4" s="489">
        <f>'פנסיה כ.מינוי+חוזה (4)'!B18</f>
        <v>36.33</v>
      </c>
      <c r="B4" s="458">
        <v>0.02</v>
      </c>
      <c r="C4" s="458">
        <f>'פנסיה כ.מינוי+חוזה (4)'!N18</f>
        <v>1.926782273603083E-2</v>
      </c>
      <c r="D4" s="458"/>
      <c r="E4" s="225"/>
      <c r="F4" s="225"/>
      <c r="G4" s="225"/>
      <c r="H4" s="225"/>
      <c r="I4" s="225"/>
      <c r="J4" s="225"/>
      <c r="K4" s="225"/>
    </row>
    <row r="5" spans="1:11" x14ac:dyDescent="0.25">
      <c r="A5" s="489">
        <f>'פנסיה כ.מינוי+חוזה (4)'!B19</f>
        <v>37.33</v>
      </c>
      <c r="B5" s="458">
        <v>0.02</v>
      </c>
      <c r="C5" s="458">
        <f>'פנסיה כ.מינוי+חוזה (4)'!N19</f>
        <v>1.875167425663006E-2</v>
      </c>
      <c r="D5" s="458"/>
      <c r="E5" s="225"/>
      <c r="F5" s="225"/>
      <c r="G5" s="225"/>
      <c r="H5" s="225"/>
      <c r="I5" s="225"/>
      <c r="J5" s="225"/>
      <c r="K5" s="225"/>
    </row>
    <row r="6" spans="1:11" x14ac:dyDescent="0.25">
      <c r="A6" s="489">
        <f>'פנסיה כ.מינוי+חוזה (4)'!B20</f>
        <v>38.33</v>
      </c>
      <c r="B6" s="458">
        <v>0.02</v>
      </c>
      <c r="C6" s="458">
        <f>'פנסיה כ.מינוי+חוזה (4)'!N20</f>
        <v>1.8262457605009132E-2</v>
      </c>
      <c r="D6" s="458"/>
      <c r="E6" s="225"/>
      <c r="F6" s="225"/>
      <c r="G6" s="225"/>
      <c r="H6" s="225"/>
      <c r="I6" s="225"/>
      <c r="J6" s="225"/>
      <c r="K6" s="225"/>
    </row>
    <row r="7" spans="1:11" x14ac:dyDescent="0.25">
      <c r="A7" s="489">
        <f>'פנסיה כ.מינוי+חוזה (4)'!B21</f>
        <v>39.33</v>
      </c>
      <c r="B7" s="458">
        <v>0.02</v>
      </c>
      <c r="C7" s="458">
        <f>'פנסיה כ.מינוי+חוזה (4)'!N21</f>
        <v>1.7798118484617344E-2</v>
      </c>
      <c r="D7" s="458"/>
      <c r="E7" s="225"/>
      <c r="F7" s="225"/>
      <c r="G7" s="225"/>
      <c r="H7" s="225"/>
      <c r="I7" s="225"/>
      <c r="J7" s="225"/>
      <c r="K7" s="225"/>
    </row>
    <row r="8" spans="1:11" x14ac:dyDescent="0.25">
      <c r="A8" s="489">
        <f>'פנסיה כ.מינוי+חוזה (4)'!B22</f>
        <v>40.33</v>
      </c>
      <c r="B8" s="458">
        <v>0.02</v>
      </c>
      <c r="C8" s="458">
        <f>'פנסיה כ.מינוי+חוזה (4)'!N22</f>
        <v>1.735680634763204E-2</v>
      </c>
      <c r="D8" s="458"/>
      <c r="E8" s="225"/>
      <c r="F8" s="225"/>
      <c r="G8" s="225"/>
      <c r="H8" s="225"/>
      <c r="I8" s="225"/>
      <c r="J8" s="225"/>
      <c r="K8" s="225"/>
    </row>
    <row r="9" spans="1:11" x14ac:dyDescent="0.25">
      <c r="A9" s="489">
        <f>'פנסיה כ.מינוי+חוזה (4)'!B23</f>
        <v>41.33</v>
      </c>
      <c r="B9" s="458">
        <v>0.02</v>
      </c>
      <c r="C9" s="458">
        <f>'פנסיה כ.מינוי+חוזה (4)'!N23</f>
        <v>1.6936849745947256E-2</v>
      </c>
      <c r="D9" s="458"/>
      <c r="E9" s="225"/>
      <c r="F9" s="225"/>
      <c r="G9" s="225"/>
      <c r="H9" s="225"/>
      <c r="I9" s="225"/>
      <c r="J9" s="225"/>
      <c r="K9" s="225"/>
    </row>
    <row r="10" spans="1:11" x14ac:dyDescent="0.25">
      <c r="A10" s="489">
        <f>'פנסיה כ.מינוי+חוזה (4)'!B24</f>
        <v>41.66</v>
      </c>
      <c r="B10" s="458">
        <v>0.02</v>
      </c>
      <c r="C10" s="458">
        <f>'פנסיה כ.מינוי+חוזה (4)'!N24</f>
        <v>1.6802688430148826E-2</v>
      </c>
      <c r="D10" s="458"/>
      <c r="E10" s="225"/>
      <c r="F10" s="225"/>
      <c r="G10" s="225"/>
      <c r="H10" s="225"/>
      <c r="I10" s="225"/>
      <c r="J10" s="225"/>
      <c r="K10" s="225"/>
    </row>
    <row r="11" spans="1:11" x14ac:dyDescent="0.25">
      <c r="A11" s="490">
        <f>'פנסיה כ.מינוי+חוזה (4)'!B25</f>
        <v>42.66</v>
      </c>
      <c r="B11" s="458">
        <v>0.02</v>
      </c>
      <c r="C11" s="458">
        <f>'פנסיה כ.מינוי+חוזה (4)'!N25</f>
        <v>1.6408813877168308E-2</v>
      </c>
      <c r="D11" s="458"/>
      <c r="E11" s="225"/>
      <c r="F11" s="225"/>
      <c r="G11" s="225"/>
      <c r="H11" s="225"/>
      <c r="I11" s="225"/>
      <c r="J11" s="225"/>
      <c r="K11" s="225"/>
    </row>
    <row r="12" spans="1:11" x14ac:dyDescent="0.25">
      <c r="A12" s="489">
        <f>'פנסיה כ.מינוי+חוזה (4)'!B28</f>
        <v>45</v>
      </c>
      <c r="B12" s="458">
        <v>0.02</v>
      </c>
      <c r="C12" s="458">
        <f>'פנסיה כ.מינוי+חוזה (4)'!N28</f>
        <v>1.5555555555555557E-2</v>
      </c>
      <c r="D12" s="458"/>
      <c r="E12" s="225"/>
      <c r="F12" s="225"/>
      <c r="G12" s="225"/>
      <c r="H12" s="225"/>
      <c r="I12" s="225"/>
      <c r="J12" s="225"/>
      <c r="K12" s="225"/>
    </row>
    <row r="13" spans="1:11" x14ac:dyDescent="0.25">
      <c r="A13" s="489">
        <f>'פנסיה כ.מינוי+חוזה (4)'!B29</f>
        <v>46</v>
      </c>
      <c r="B13" s="458">
        <v>0.02</v>
      </c>
      <c r="C13" s="458">
        <f>'פנסיה כ.מינוי+חוזה (4)'!N29</f>
        <v>1.5217391304347828E-2</v>
      </c>
      <c r="D13" s="458"/>
      <c r="E13" s="225"/>
      <c r="F13" s="225"/>
      <c r="G13" s="225"/>
      <c r="H13" s="225"/>
      <c r="I13" s="225"/>
      <c r="J13" s="225"/>
      <c r="K13" s="225"/>
    </row>
    <row r="14" spans="1:11" x14ac:dyDescent="0.25">
      <c r="A14" s="489">
        <f>'פנסיה כ.מינוי+חוזה (4)'!B32</f>
        <v>49</v>
      </c>
      <c r="B14" s="458">
        <v>0.02</v>
      </c>
      <c r="C14" s="458">
        <f>'פנסיה כ.מינוי+חוזה (4)'!N32</f>
        <v>1.4285714285714287E-2</v>
      </c>
      <c r="D14" s="458"/>
      <c r="E14" s="225"/>
      <c r="F14" s="225"/>
      <c r="G14" s="225"/>
      <c r="H14" s="225"/>
      <c r="I14" s="225"/>
      <c r="J14" s="225"/>
      <c r="K14" s="225"/>
    </row>
    <row r="15" spans="1:11" x14ac:dyDescent="0.25">
      <c r="C15" s="310"/>
      <c r="D15" s="458"/>
      <c r="E15" s="225"/>
      <c r="F15" s="225"/>
      <c r="G15" s="225"/>
      <c r="H15" s="225"/>
      <c r="I15" s="225"/>
      <c r="J15" s="225"/>
      <c r="K15" s="225"/>
    </row>
    <row r="16" spans="1:11" x14ac:dyDescent="0.25">
      <c r="C16" s="310"/>
      <c r="D16" s="458"/>
      <c r="E16" s="225"/>
      <c r="F16" s="225"/>
      <c r="G16" s="225"/>
      <c r="H16" s="225"/>
      <c r="I16" s="225"/>
      <c r="J16" s="225"/>
      <c r="K16" s="225"/>
    </row>
    <row r="17" spans="3:11" x14ac:dyDescent="0.25">
      <c r="C17" s="310"/>
      <c r="D17" s="458"/>
      <c r="E17" s="225"/>
      <c r="F17" s="225"/>
      <c r="G17" s="225"/>
      <c r="H17" s="225"/>
      <c r="I17" s="225"/>
      <c r="J17" s="225"/>
      <c r="K17" s="225"/>
    </row>
    <row r="18" spans="3:11" x14ac:dyDescent="0.25">
      <c r="C18" s="310"/>
      <c r="D18" s="458"/>
      <c r="E18" s="225"/>
      <c r="F18" s="225"/>
      <c r="G18" s="225"/>
      <c r="H18" s="225"/>
      <c r="I18" s="225"/>
      <c r="J18" s="225"/>
      <c r="K18" s="225"/>
    </row>
    <row r="19" spans="3:11" x14ac:dyDescent="0.25">
      <c r="C19" s="310"/>
      <c r="D19" s="458"/>
      <c r="E19" s="225"/>
      <c r="F19" s="225"/>
      <c r="G19" s="225"/>
      <c r="H19" s="225"/>
      <c r="I19" s="225"/>
      <c r="J19" s="225"/>
      <c r="K19" s="225"/>
    </row>
    <row r="20" spans="3:11" x14ac:dyDescent="0.25">
      <c r="C20" s="310"/>
      <c r="D20" s="458"/>
      <c r="E20" s="225"/>
      <c r="F20" s="225"/>
      <c r="G20" s="225"/>
      <c r="H20" s="225"/>
      <c r="I20" s="225"/>
      <c r="J20" s="225"/>
      <c r="K20" s="225"/>
    </row>
    <row r="21" spans="3:11" x14ac:dyDescent="0.25">
      <c r="C21" s="310"/>
      <c r="D21" s="458"/>
      <c r="E21" s="225"/>
      <c r="F21" s="225"/>
      <c r="G21" s="225"/>
      <c r="H21" s="225"/>
      <c r="I21" s="225"/>
      <c r="J21" s="225"/>
      <c r="K21" s="225"/>
    </row>
    <row r="22" spans="3:11" x14ac:dyDescent="0.25">
      <c r="C22" s="310"/>
      <c r="D22" s="458"/>
      <c r="E22" s="225"/>
      <c r="F22" s="225"/>
      <c r="G22" s="225"/>
      <c r="H22" s="225"/>
      <c r="I22" s="225"/>
      <c r="J22" s="225"/>
      <c r="K22" s="225"/>
    </row>
    <row r="23" spans="3:11" x14ac:dyDescent="0.25">
      <c r="C23" s="310"/>
      <c r="D23" s="458"/>
      <c r="E23" s="459"/>
      <c r="F23" s="225"/>
      <c r="G23" s="225"/>
      <c r="H23" s="225"/>
      <c r="I23" s="225"/>
      <c r="J23" s="225"/>
      <c r="K23" s="225"/>
    </row>
    <row r="24" spans="3:11" x14ac:dyDescent="0.25">
      <c r="C24" s="310"/>
      <c r="D24" s="458"/>
      <c r="E24" s="225"/>
      <c r="F24" s="225"/>
      <c r="G24" s="225"/>
      <c r="H24" s="225"/>
      <c r="I24" s="225"/>
      <c r="J24" s="225"/>
      <c r="K24" s="225"/>
    </row>
    <row r="25" spans="3:11" x14ac:dyDescent="0.25">
      <c r="C25" s="310"/>
      <c r="D25" s="458"/>
      <c r="E25" s="225"/>
      <c r="F25" s="225"/>
      <c r="G25" s="225"/>
      <c r="H25" s="225"/>
      <c r="I25" s="225"/>
      <c r="J25" s="225"/>
      <c r="K25" s="225"/>
    </row>
    <row r="26" spans="3:11" x14ac:dyDescent="0.25">
      <c r="C26" s="310"/>
      <c r="D26" s="458"/>
      <c r="E26" s="225"/>
      <c r="F26" s="225"/>
      <c r="G26" s="225"/>
      <c r="H26" s="225"/>
      <c r="I26" s="225"/>
      <c r="J26" s="225"/>
      <c r="K26" s="225"/>
    </row>
    <row r="27" spans="3:11" x14ac:dyDescent="0.25">
      <c r="C27" s="310"/>
      <c r="D27" s="458"/>
      <c r="E27" s="310"/>
      <c r="F27" s="225"/>
      <c r="G27" s="225"/>
      <c r="H27" s="225"/>
      <c r="I27" s="225"/>
      <c r="J27" s="225"/>
      <c r="K27" s="225"/>
    </row>
    <row r="28" spans="3:11" x14ac:dyDescent="0.25">
      <c r="C28" s="310"/>
      <c r="D28" s="458"/>
      <c r="E28" s="458"/>
      <c r="F28" s="310"/>
      <c r="G28" s="225"/>
      <c r="H28" s="225"/>
      <c r="I28" s="225"/>
      <c r="J28" s="225"/>
      <c r="K28" s="225"/>
    </row>
    <row r="29" spans="3:11" x14ac:dyDescent="0.25">
      <c r="C29" s="310"/>
      <c r="D29" s="458"/>
      <c r="E29" s="458"/>
      <c r="F29" s="310"/>
      <c r="G29" s="225"/>
      <c r="H29" s="225"/>
      <c r="I29" s="225"/>
      <c r="J29" s="225"/>
      <c r="K29" s="225"/>
    </row>
    <row r="30" spans="3:11" x14ac:dyDescent="0.25">
      <c r="C30" s="310"/>
      <c r="D30" s="458"/>
      <c r="E30" s="458"/>
      <c r="F30" s="310"/>
      <c r="G30" s="225"/>
      <c r="H30" s="225"/>
      <c r="I30" s="225"/>
      <c r="J30" s="225"/>
      <c r="K30" s="225"/>
    </row>
    <row r="31" spans="3:11" x14ac:dyDescent="0.25">
      <c r="C31" s="310"/>
      <c r="D31" s="458"/>
      <c r="E31" s="458"/>
      <c r="F31" s="310"/>
      <c r="G31" s="225"/>
      <c r="H31" s="225"/>
      <c r="I31" s="225"/>
      <c r="J31" s="225"/>
      <c r="K31" s="225"/>
    </row>
    <row r="32" spans="3:11" x14ac:dyDescent="0.25">
      <c r="C32" s="310"/>
      <c r="D32" s="458"/>
      <c r="E32" s="458"/>
      <c r="F32" s="310"/>
      <c r="G32" s="225"/>
      <c r="H32" s="225"/>
      <c r="I32" s="225"/>
      <c r="J32" s="225"/>
      <c r="K32" s="225"/>
    </row>
    <row r="33" spans="3:6" x14ac:dyDescent="0.25">
      <c r="C33" s="310"/>
      <c r="D33" s="458"/>
      <c r="E33" s="458"/>
      <c r="F33" s="310"/>
    </row>
    <row r="34" spans="3:6" x14ac:dyDescent="0.25">
      <c r="C34" s="310"/>
      <c r="D34" s="458"/>
      <c r="E34" s="458"/>
      <c r="F34" s="310"/>
    </row>
    <row r="35" spans="3:6" x14ac:dyDescent="0.25">
      <c r="E35" s="458"/>
      <c r="F35" s="3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5A78-57B7-4B7C-BE8F-E0D41801570F}">
  <sheetPr codeName="גיליון1"/>
  <dimension ref="A1:X104"/>
  <sheetViews>
    <sheetView rightToLeft="1" topLeftCell="A7" workbookViewId="0">
      <selection activeCell="E17" sqref="E17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7" width="9.6640625" customWidth="1"/>
    <col min="8" max="8" width="1.6640625" customWidth="1"/>
    <col min="9" max="9" width="8.44140625" customWidth="1"/>
    <col min="10" max="10" width="9.6640625" customWidth="1"/>
    <col min="11" max="11" width="2.88671875" customWidth="1"/>
    <col min="12" max="12" width="10.33203125" customWidth="1"/>
    <col min="13" max="13" width="2.5546875" customWidth="1"/>
    <col min="14" max="14" width="8.44140625" customWidth="1"/>
    <col min="15" max="15" width="10.109375" customWidth="1"/>
    <col min="16" max="16" width="2.5546875" customWidth="1"/>
    <col min="17" max="17" width="9.44140625" customWidth="1"/>
  </cols>
  <sheetData>
    <row r="1" spans="1:24" s="1" customFormat="1" ht="15.55" x14ac:dyDescent="0.3">
      <c r="F1" s="1" t="s">
        <v>0</v>
      </c>
    </row>
    <row r="2" spans="1:24" s="1" customFormat="1" ht="16.149999999999999" thickBot="1" x14ac:dyDescent="0.35">
      <c r="C2" s="1" t="s">
        <v>1</v>
      </c>
    </row>
    <row r="3" spans="1:24" ht="13.25" thickBot="1" x14ac:dyDescent="0.3">
      <c r="C3" s="104"/>
      <c r="D3" s="6" t="s">
        <v>2</v>
      </c>
      <c r="E3" s="7" t="s">
        <v>3</v>
      </c>
    </row>
    <row r="4" spans="1:24" ht="15.55" x14ac:dyDescent="0.3">
      <c r="C4" s="8" t="s">
        <v>4</v>
      </c>
      <c r="D4" s="10">
        <f>Q7</f>
        <v>22.33</v>
      </c>
      <c r="E4" s="11">
        <f>+Q8</f>
        <v>42825</v>
      </c>
      <c r="R4" s="1"/>
    </row>
    <row r="5" spans="1:24" ht="13.25" thickBot="1" x14ac:dyDescent="0.3">
      <c r="C5" s="12" t="s">
        <v>5</v>
      </c>
      <c r="D5" s="14">
        <f>+L7</f>
        <v>20.329999999999998</v>
      </c>
      <c r="E5" s="15">
        <f>+L8</f>
        <v>13905</v>
      </c>
    </row>
    <row r="6" spans="1:24" x14ac:dyDescent="0.25">
      <c r="L6" s="16" t="s">
        <v>6</v>
      </c>
    </row>
    <row r="7" spans="1:24" x14ac:dyDescent="0.25">
      <c r="K7" s="18" t="s">
        <v>7</v>
      </c>
      <c r="L7" s="19">
        <v>20.329999999999998</v>
      </c>
      <c r="P7" s="18" t="s">
        <v>8</v>
      </c>
      <c r="Q7" s="19">
        <v>22.33</v>
      </c>
      <c r="S7" s="20"/>
    </row>
    <row r="8" spans="1:24" ht="13.25" thickBot="1" x14ac:dyDescent="0.3">
      <c r="I8" s="3"/>
      <c r="K8" s="21" t="s">
        <v>10</v>
      </c>
      <c r="L8" s="22">
        <v>13905</v>
      </c>
      <c r="P8" s="21" t="s">
        <v>11</v>
      </c>
      <c r="Q8" s="22">
        <v>42825</v>
      </c>
      <c r="S8" s="23"/>
    </row>
    <row r="9" spans="1:24" ht="17.850000000000001" x14ac:dyDescent="0.35">
      <c r="B9" s="4"/>
      <c r="C9" s="18" t="s">
        <v>9</v>
      </c>
      <c r="D9" s="25">
        <v>0.02</v>
      </c>
      <c r="E9" s="33" t="s">
        <v>37</v>
      </c>
      <c r="F9" s="33" t="s">
        <v>12</v>
      </c>
      <c r="G9" s="152"/>
      <c r="H9" s="3" t="s">
        <v>13</v>
      </c>
      <c r="I9" s="27" t="s">
        <v>14</v>
      </c>
      <c r="J9" s="28" t="s">
        <v>15</v>
      </c>
      <c r="K9" s="29" t="s">
        <v>16</v>
      </c>
      <c r="L9" s="30" t="s">
        <v>10</v>
      </c>
      <c r="M9" s="31" t="s">
        <v>17</v>
      </c>
      <c r="N9" s="32"/>
      <c r="O9" s="33" t="s">
        <v>18</v>
      </c>
      <c r="P9" s="29" t="s">
        <v>16</v>
      </c>
      <c r="Q9" s="30" t="s">
        <v>19</v>
      </c>
      <c r="S9" s="34"/>
    </row>
    <row r="10" spans="1:24" x14ac:dyDescent="0.25">
      <c r="A10" s="35" t="s">
        <v>20</v>
      </c>
      <c r="B10" s="36"/>
      <c r="D10" s="37">
        <v>0.7</v>
      </c>
      <c r="F10" s="38" t="s">
        <v>21</v>
      </c>
      <c r="G10" s="30" t="s">
        <v>4</v>
      </c>
      <c r="I10" s="39" t="s">
        <v>22</v>
      </c>
      <c r="J10" s="40" t="s">
        <v>23</v>
      </c>
      <c r="L10" s="41"/>
      <c r="N10" s="42"/>
      <c r="O10" s="38" t="s">
        <v>23</v>
      </c>
      <c r="Q10" s="43" t="s">
        <v>24</v>
      </c>
      <c r="S10" s="44"/>
      <c r="U10" s="45"/>
      <c r="W10" s="46"/>
      <c r="X10" s="47"/>
    </row>
    <row r="11" spans="1:24" ht="18.45" thickBot="1" x14ac:dyDescent="0.4">
      <c r="B11" s="48"/>
      <c r="C11" s="49" t="s">
        <v>25</v>
      </c>
      <c r="D11" s="50">
        <f>(E11* D10)</f>
        <v>20330.042897327705</v>
      </c>
      <c r="E11" s="51">
        <f>G11+F11</f>
        <v>29042.918424753865</v>
      </c>
      <c r="F11" s="52">
        <f>L11*J11/J12</f>
        <v>6626.5506329113923</v>
      </c>
      <c r="G11" s="53">
        <f>Q11*O11/J12</f>
        <v>22416.367791842473</v>
      </c>
      <c r="I11" s="54">
        <f>J11/J12</f>
        <v>0.47655883731833099</v>
      </c>
      <c r="J11" s="55">
        <f>L7</f>
        <v>20.329999999999998</v>
      </c>
      <c r="K11" s="56" t="s">
        <v>16</v>
      </c>
      <c r="L11" s="53">
        <f>+E5</f>
        <v>13905</v>
      </c>
      <c r="M11" s="31" t="s">
        <v>17</v>
      </c>
      <c r="N11" s="57">
        <f>O11/O12</f>
        <v>0.52344116268166896</v>
      </c>
      <c r="O11" s="58">
        <f>Q7</f>
        <v>22.33</v>
      </c>
      <c r="P11" s="56" t="s">
        <v>16</v>
      </c>
      <c r="Q11" s="53">
        <f>+E4</f>
        <v>42825</v>
      </c>
      <c r="S11" s="44"/>
      <c r="T11" s="59"/>
      <c r="U11" s="59"/>
      <c r="V11" s="59"/>
      <c r="W11" s="59"/>
      <c r="X11" s="59"/>
    </row>
    <row r="12" spans="1:24" ht="16.149999999999999" thickBot="1" x14ac:dyDescent="0.35">
      <c r="B12" s="60"/>
      <c r="C12" s="61" t="s">
        <v>26</v>
      </c>
      <c r="D12" s="62">
        <f>D11/O12/E11</f>
        <v>1.6408813877168308E-2</v>
      </c>
      <c r="E12" s="63" t="s">
        <v>20</v>
      </c>
      <c r="F12" s="64"/>
      <c r="G12" s="65"/>
      <c r="I12" s="66"/>
      <c r="J12" s="67">
        <f>Q7+D5</f>
        <v>42.66</v>
      </c>
      <c r="K12" s="64"/>
      <c r="L12" s="65"/>
      <c r="N12" s="68"/>
      <c r="O12" s="67">
        <f>Q7+D5</f>
        <v>42.66</v>
      </c>
      <c r="P12" s="64"/>
      <c r="Q12" s="65"/>
      <c r="S12" s="44"/>
      <c r="T12" s="69"/>
      <c r="U12" s="45"/>
      <c r="V12" s="70"/>
      <c r="W12" s="70"/>
      <c r="X12" s="70"/>
    </row>
    <row r="13" spans="1:24" x14ac:dyDescent="0.25">
      <c r="E13" t="s">
        <v>20</v>
      </c>
      <c r="S13" s="44"/>
      <c r="T13" s="20"/>
      <c r="U13" s="71"/>
      <c r="V13" s="70"/>
      <c r="W13" s="70"/>
      <c r="X13" s="70"/>
    </row>
    <row r="14" spans="1:24" ht="13.85" x14ac:dyDescent="0.25">
      <c r="B14" s="4"/>
      <c r="C14" s="24"/>
      <c r="D14" s="24"/>
      <c r="E14" s="4"/>
      <c r="F14" s="24"/>
      <c r="G14" s="5"/>
      <c r="H14" s="24"/>
      <c r="I14" s="4"/>
      <c r="J14" s="72" t="s">
        <v>15</v>
      </c>
      <c r="K14" s="24"/>
      <c r="L14" s="5"/>
      <c r="M14" s="24"/>
      <c r="N14" s="4"/>
      <c r="O14" s="73" t="s">
        <v>27</v>
      </c>
      <c r="P14" s="24"/>
      <c r="Q14" s="5"/>
      <c r="S14" s="44"/>
      <c r="T14" s="20"/>
      <c r="U14" s="74"/>
      <c r="V14" s="75"/>
      <c r="W14" s="75"/>
      <c r="X14" s="76"/>
    </row>
    <row r="15" spans="1:24" ht="13.25" thickBot="1" x14ac:dyDescent="0.3">
      <c r="B15" s="36"/>
      <c r="E15" s="36"/>
      <c r="G15" s="9"/>
      <c r="I15" s="36"/>
      <c r="J15" s="77" t="s">
        <v>28</v>
      </c>
      <c r="L15" s="9"/>
      <c r="N15" s="36"/>
      <c r="O15" s="78" t="s">
        <v>28</v>
      </c>
      <c r="Q15" s="9"/>
      <c r="S15" s="44"/>
      <c r="T15" s="79"/>
      <c r="U15" s="45"/>
      <c r="V15" s="80"/>
      <c r="W15" s="81"/>
      <c r="X15" s="81"/>
    </row>
    <row r="16" spans="1:24" ht="13.85" x14ac:dyDescent="0.25">
      <c r="B16" s="36"/>
      <c r="D16" s="82" t="s">
        <v>20</v>
      </c>
      <c r="E16" s="36"/>
      <c r="G16" s="9"/>
      <c r="I16" s="36"/>
      <c r="J16" s="3" t="s">
        <v>20</v>
      </c>
      <c r="L16" s="9"/>
      <c r="N16" s="36"/>
      <c r="O16" s="83"/>
      <c r="Q16" s="9"/>
      <c r="S16" s="44"/>
      <c r="T16" s="79"/>
      <c r="U16" s="45"/>
      <c r="V16" s="84"/>
      <c r="W16" s="84"/>
      <c r="X16" s="84"/>
    </row>
    <row r="17" spans="1:24" ht="18.45" thickBot="1" x14ac:dyDescent="0.4">
      <c r="A17">
        <f>D17/D11</f>
        <v>1.1140739896312335</v>
      </c>
      <c r="B17" s="36"/>
      <c r="C17" s="85" t="s">
        <v>29</v>
      </c>
      <c r="D17" s="52">
        <f>((Q17*O17)+(L17*J17))*D9</f>
        <v>22649.171999999999</v>
      </c>
      <c r="E17" s="86">
        <f>((Q17*O17)+(J17*L17))/(O11+J11)</f>
        <v>26546.146272855134</v>
      </c>
      <c r="F17" s="87">
        <f>(L17*J17)/(O17+J17)</f>
        <v>5033.6100000000006</v>
      </c>
      <c r="G17" s="50">
        <f>Q17*O17/(O17+J17)</f>
        <v>27322.349999999995</v>
      </c>
      <c r="I17" s="88">
        <f>J17/(J17+O17)</f>
        <v>0.36200000000000004</v>
      </c>
      <c r="J17" s="89">
        <f>MAX(IF((L7+Q7)&lt;=35,L7,(35-Q7)),)</f>
        <v>12.670000000000002</v>
      </c>
      <c r="K17" s="90" t="s">
        <v>16</v>
      </c>
      <c r="L17" s="91">
        <f>E5</f>
        <v>13905</v>
      </c>
      <c r="M17" s="31" t="s">
        <v>17</v>
      </c>
      <c r="N17" s="92">
        <f>O17/(O17+J17)</f>
        <v>0.6379999999999999</v>
      </c>
      <c r="O17" s="93">
        <f>Q7</f>
        <v>22.33</v>
      </c>
      <c r="P17" s="3" t="s">
        <v>16</v>
      </c>
      <c r="Q17" s="50">
        <f>+E4</f>
        <v>42825</v>
      </c>
      <c r="S17" s="44"/>
      <c r="T17" s="79"/>
      <c r="U17" s="45"/>
      <c r="V17" s="84"/>
      <c r="W17" s="84"/>
      <c r="X17" s="84"/>
    </row>
    <row r="18" spans="1:24" ht="15.55" x14ac:dyDescent="0.3">
      <c r="B18" s="94"/>
      <c r="C18" s="95" t="s">
        <v>26</v>
      </c>
      <c r="D18" s="96">
        <f>D17/(Q7+L7)/E17</f>
        <v>0.02</v>
      </c>
      <c r="E18" s="97"/>
      <c r="F18" s="17"/>
      <c r="G18" s="13"/>
      <c r="H18" s="17"/>
      <c r="I18" s="17"/>
      <c r="J18" s="17"/>
      <c r="K18" s="17"/>
      <c r="L18" s="17"/>
      <c r="M18" s="17"/>
      <c r="N18" s="97"/>
      <c r="O18" s="98" t="s">
        <v>20</v>
      </c>
      <c r="P18" s="17"/>
      <c r="Q18" s="13"/>
      <c r="S18" s="44"/>
      <c r="T18" s="99"/>
      <c r="U18" s="45"/>
      <c r="V18" s="84"/>
      <c r="W18" s="84"/>
      <c r="X18" s="84"/>
    </row>
    <row r="19" spans="1:24" ht="13.85" x14ac:dyDescent="0.25">
      <c r="J19" s="100"/>
      <c r="L19" s="83"/>
      <c r="O19" s="100"/>
      <c r="S19" s="44"/>
      <c r="T19" s="99"/>
      <c r="U19" s="45"/>
      <c r="V19" s="84"/>
      <c r="W19" s="84"/>
      <c r="X19" s="84"/>
    </row>
    <row r="20" spans="1:24" ht="13.85" x14ac:dyDescent="0.25">
      <c r="S20" s="44"/>
      <c r="T20" s="99"/>
      <c r="U20" s="45"/>
      <c r="V20" s="84"/>
      <c r="W20" s="84"/>
      <c r="X20" s="84"/>
    </row>
    <row r="21" spans="1:24" ht="13.85" x14ac:dyDescent="0.25">
      <c r="A21" s="153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44"/>
      <c r="T21" s="99"/>
      <c r="U21" s="45"/>
      <c r="V21" s="84"/>
      <c r="W21" s="84"/>
      <c r="X21" s="84"/>
    </row>
    <row r="22" spans="1:24" ht="14.4" thickBot="1" x14ac:dyDescent="0.3">
      <c r="A22" s="101"/>
      <c r="B22" s="101"/>
      <c r="D22" s="102"/>
      <c r="E22" s="3"/>
      <c r="F22" s="103"/>
      <c r="S22" s="44"/>
      <c r="T22" s="99"/>
      <c r="U22" s="45"/>
      <c r="V22" s="84"/>
      <c r="W22" s="84"/>
      <c r="X22" s="84"/>
    </row>
    <row r="23" spans="1:24" ht="13.85" x14ac:dyDescent="0.25">
      <c r="D23" s="104" t="s">
        <v>30</v>
      </c>
      <c r="E23" s="105" t="s">
        <v>19</v>
      </c>
      <c r="F23" s="106" t="s">
        <v>10</v>
      </c>
      <c r="G23" s="107" t="s">
        <v>31</v>
      </c>
      <c r="H23" s="108" t="s">
        <v>13</v>
      </c>
      <c r="I23" s="109" t="s">
        <v>32</v>
      </c>
      <c r="J23" s="110" t="s">
        <v>15</v>
      </c>
      <c r="K23" s="26" t="s">
        <v>16</v>
      </c>
      <c r="L23" s="111" t="s">
        <v>10</v>
      </c>
      <c r="M23" s="112" t="s">
        <v>17</v>
      </c>
      <c r="N23" s="113" t="s">
        <v>32</v>
      </c>
      <c r="O23" s="33" t="s">
        <v>27</v>
      </c>
      <c r="P23" s="114" t="s">
        <v>16</v>
      </c>
      <c r="Q23" s="111" t="s">
        <v>19</v>
      </c>
      <c r="S23" s="44"/>
      <c r="T23" s="99"/>
      <c r="U23" s="45"/>
      <c r="V23" s="84"/>
      <c r="W23" s="84"/>
      <c r="X23" s="84"/>
    </row>
    <row r="24" spans="1:24" ht="14.4" thickBot="1" x14ac:dyDescent="0.3">
      <c r="B24" s="16" t="s">
        <v>25</v>
      </c>
      <c r="D24" s="115">
        <v>0.02</v>
      </c>
      <c r="E24" s="116" t="s">
        <v>33</v>
      </c>
      <c r="F24" s="117" t="s">
        <v>34</v>
      </c>
      <c r="G24" s="65" t="s">
        <v>35</v>
      </c>
      <c r="H24" s="118"/>
      <c r="I24" s="119" t="s">
        <v>22</v>
      </c>
      <c r="J24" s="64" t="s">
        <v>28</v>
      </c>
      <c r="K24" s="64"/>
      <c r="L24" s="65" t="s">
        <v>36</v>
      </c>
      <c r="M24" s="68"/>
      <c r="N24" s="120" t="s">
        <v>22</v>
      </c>
      <c r="O24" s="121" t="s">
        <v>28</v>
      </c>
      <c r="P24" s="64"/>
      <c r="Q24" s="65" t="s">
        <v>24</v>
      </c>
      <c r="S24" s="44"/>
      <c r="T24" s="99"/>
      <c r="U24" s="45"/>
      <c r="V24" s="84"/>
      <c r="W24" s="84"/>
      <c r="X24" s="84"/>
    </row>
    <row r="25" spans="1:24" ht="15.55" x14ac:dyDescent="0.3">
      <c r="D25" s="122">
        <v>18218.628000000001</v>
      </c>
      <c r="E25" s="123">
        <v>26026.611428571428</v>
      </c>
      <c r="F25" s="124">
        <f>L25*I25</f>
        <v>8076.818571428571</v>
      </c>
      <c r="G25" s="125">
        <f>Q25*N25</f>
        <v>17949.792857142857</v>
      </c>
      <c r="H25" s="126"/>
      <c r="I25" s="127">
        <f>J25/J26</f>
        <v>0.58085714285714285</v>
      </c>
      <c r="J25" s="128">
        <v>20.329999999999998</v>
      </c>
      <c r="K25" t="s">
        <v>16</v>
      </c>
      <c r="L25" s="129">
        <v>13905</v>
      </c>
      <c r="M25" s="130" t="s">
        <v>17</v>
      </c>
      <c r="N25" s="131">
        <f>O25/O26</f>
        <v>0.41914285714285715</v>
      </c>
      <c r="O25" s="132">
        <v>14.67</v>
      </c>
      <c r="P25" s="133" t="s">
        <v>16</v>
      </c>
      <c r="Q25" s="129">
        <v>42825</v>
      </c>
      <c r="R25" s="1"/>
      <c r="S25" s="44"/>
      <c r="T25" s="134"/>
      <c r="U25" s="45"/>
      <c r="V25" s="135"/>
      <c r="W25" s="84"/>
      <c r="X25" s="84"/>
    </row>
    <row r="26" spans="1:24" ht="16.149999999999999" thickBot="1" x14ac:dyDescent="0.35">
      <c r="D26" s="136"/>
      <c r="E26" s="65"/>
      <c r="F26" s="68"/>
      <c r="G26" s="65"/>
      <c r="I26" s="136"/>
      <c r="J26" s="137">
        <v>35</v>
      </c>
      <c r="K26" s="17"/>
      <c r="L26" s="13"/>
      <c r="N26" s="136"/>
      <c r="O26" s="138">
        <v>35</v>
      </c>
      <c r="P26" s="17"/>
      <c r="Q26" s="13"/>
      <c r="R26" s="2"/>
      <c r="S26" s="44"/>
      <c r="T26" s="134"/>
      <c r="U26" s="45"/>
      <c r="V26" s="135"/>
      <c r="W26" s="84"/>
      <c r="X26" s="84"/>
    </row>
    <row r="27" spans="1:24" ht="15.55" x14ac:dyDescent="0.3">
      <c r="J27" t="s">
        <v>20</v>
      </c>
      <c r="L27" s="139"/>
      <c r="O27" s="83"/>
      <c r="Q27" s="83"/>
      <c r="S27" s="44"/>
      <c r="T27" s="44"/>
      <c r="U27" s="45"/>
      <c r="V27" s="84"/>
      <c r="W27" s="84"/>
      <c r="X27" s="84"/>
    </row>
    <row r="28" spans="1:24" ht="13.85" x14ac:dyDescent="0.25">
      <c r="S28" s="44"/>
      <c r="T28" s="44"/>
      <c r="U28" s="45"/>
      <c r="V28" s="84"/>
      <c r="W28" s="84"/>
      <c r="X28" s="84"/>
    </row>
    <row r="29" spans="1:24" ht="13.85" x14ac:dyDescent="0.25">
      <c r="O29" s="140"/>
      <c r="S29" s="44"/>
      <c r="T29" s="44"/>
      <c r="U29" s="45"/>
      <c r="V29" s="84"/>
      <c r="W29" s="84"/>
      <c r="X29" s="84"/>
    </row>
    <row r="30" spans="1:24" ht="15.55" x14ac:dyDescent="0.4">
      <c r="L30" s="141"/>
      <c r="O30" s="142"/>
      <c r="S30" s="44"/>
      <c r="T30" s="44"/>
      <c r="U30" s="45"/>
      <c r="V30" s="84"/>
      <c r="W30" s="84"/>
      <c r="X30" s="84"/>
    </row>
    <row r="31" spans="1:24" ht="13.85" x14ac:dyDescent="0.25">
      <c r="D31" s="143"/>
      <c r="F31" s="52"/>
      <c r="G31" s="100"/>
      <c r="J31" s="52"/>
      <c r="K31" s="83"/>
      <c r="M31" s="144"/>
      <c r="N31" s="144"/>
      <c r="P31" s="83"/>
      <c r="R31" s="52"/>
      <c r="S31" s="44"/>
      <c r="T31" s="44"/>
      <c r="U31" s="45"/>
      <c r="V31" s="84"/>
      <c r="W31" s="84"/>
      <c r="X31" s="84"/>
    </row>
    <row r="32" spans="1:24" ht="13.85" x14ac:dyDescent="0.25">
      <c r="J32" s="52"/>
      <c r="O32" s="52"/>
      <c r="S32" s="44"/>
      <c r="T32" s="44"/>
      <c r="U32" s="45"/>
      <c r="V32" s="84"/>
      <c r="W32" s="84"/>
      <c r="X32" s="84"/>
    </row>
    <row r="33" spans="5:24" ht="13.85" x14ac:dyDescent="0.25">
      <c r="S33" s="44"/>
      <c r="T33" s="44"/>
      <c r="U33" s="45"/>
      <c r="V33" s="84"/>
      <c r="W33" s="84"/>
      <c r="X33" s="84"/>
    </row>
    <row r="34" spans="5:24" ht="13.85" x14ac:dyDescent="0.25">
      <c r="I34" s="145"/>
      <c r="S34" s="44"/>
      <c r="T34" s="44"/>
      <c r="U34" s="45"/>
      <c r="V34" s="84"/>
      <c r="W34" s="146"/>
      <c r="X34" s="84"/>
    </row>
    <row r="35" spans="5:24" ht="13.85" x14ac:dyDescent="0.25">
      <c r="E35" s="145"/>
      <c r="F35" s="145"/>
      <c r="I35" s="145"/>
      <c r="S35" s="44"/>
      <c r="T35" s="44"/>
      <c r="U35" s="45"/>
      <c r="V35" s="84"/>
      <c r="W35" s="146"/>
      <c r="X35" s="84"/>
    </row>
    <row r="36" spans="5:24" ht="13.85" x14ac:dyDescent="0.25">
      <c r="F36" s="145"/>
      <c r="I36" s="145"/>
      <c r="S36" s="44"/>
      <c r="T36" s="44"/>
      <c r="U36" s="45"/>
      <c r="V36" s="84"/>
      <c r="W36" s="84"/>
      <c r="X36" s="84"/>
    </row>
    <row r="37" spans="5:24" ht="13.85" x14ac:dyDescent="0.25">
      <c r="F37" s="145"/>
      <c r="I37" s="145"/>
      <c r="S37" s="44"/>
      <c r="T37" s="44"/>
      <c r="U37" s="45"/>
      <c r="V37" s="84"/>
      <c r="W37" s="84"/>
      <c r="X37" s="84"/>
    </row>
    <row r="38" spans="5:24" ht="13.85" x14ac:dyDescent="0.25">
      <c r="M38" s="147"/>
      <c r="N38" s="147"/>
      <c r="Q38" s="45"/>
      <c r="S38" s="44"/>
      <c r="T38" s="44"/>
      <c r="U38" s="45"/>
      <c r="V38" s="84"/>
      <c r="W38" s="84"/>
      <c r="X38" s="84"/>
    </row>
    <row r="39" spans="5:24" ht="13.85" x14ac:dyDescent="0.25">
      <c r="Q39" s="45"/>
      <c r="R39" s="45"/>
      <c r="S39" s="44"/>
      <c r="T39" s="44"/>
      <c r="U39" s="45"/>
      <c r="V39" s="84"/>
      <c r="W39" s="84"/>
      <c r="X39" s="84"/>
    </row>
    <row r="40" spans="5:24" ht="13.85" x14ac:dyDescent="0.25">
      <c r="R40" s="45"/>
      <c r="T40" s="44"/>
      <c r="U40" s="45"/>
      <c r="V40" s="84"/>
      <c r="W40" s="84"/>
      <c r="X40" s="84"/>
    </row>
    <row r="41" spans="5:24" ht="13.85" x14ac:dyDescent="0.25">
      <c r="R41" s="45"/>
      <c r="T41" s="44"/>
      <c r="U41" s="45"/>
      <c r="V41" s="84"/>
      <c r="W41" s="84"/>
      <c r="X41" s="84"/>
    </row>
    <row r="42" spans="5:24" ht="13.85" x14ac:dyDescent="0.25">
      <c r="R42" s="45"/>
      <c r="T42" s="44"/>
      <c r="U42" s="45"/>
      <c r="V42" s="84"/>
      <c r="W42" s="84"/>
      <c r="X42" s="84"/>
    </row>
    <row r="43" spans="5:24" ht="13.85" x14ac:dyDescent="0.25">
      <c r="R43" s="45"/>
      <c r="T43" s="44"/>
      <c r="U43" s="45"/>
      <c r="V43" s="84"/>
      <c r="W43" s="84"/>
      <c r="X43" s="84"/>
    </row>
    <row r="44" spans="5:24" ht="13.85" x14ac:dyDescent="0.25">
      <c r="R44" s="45"/>
      <c r="T44" s="44"/>
      <c r="U44" s="45"/>
      <c r="V44" s="84"/>
      <c r="W44" s="84"/>
      <c r="X44" s="84"/>
    </row>
    <row r="45" spans="5:24" ht="13.85" x14ac:dyDescent="0.25">
      <c r="R45" s="45"/>
      <c r="T45" s="44"/>
      <c r="U45" s="45"/>
      <c r="V45" s="84"/>
      <c r="W45" s="84"/>
      <c r="X45" s="84"/>
    </row>
    <row r="46" spans="5:24" ht="13.85" x14ac:dyDescent="0.25">
      <c r="R46" s="45"/>
      <c r="T46" s="44"/>
      <c r="U46" s="45"/>
      <c r="V46" s="84"/>
      <c r="W46" s="84"/>
      <c r="X46" s="84"/>
    </row>
    <row r="47" spans="5:24" x14ac:dyDescent="0.25">
      <c r="R47" s="45"/>
    </row>
    <row r="48" spans="5:24" x14ac:dyDescent="0.25">
      <c r="R48" s="45"/>
    </row>
    <row r="49" spans="18:18" x14ac:dyDescent="0.25">
      <c r="R49" s="45"/>
    </row>
    <row r="50" spans="18:18" x14ac:dyDescent="0.25">
      <c r="R50" s="45"/>
    </row>
    <row r="51" spans="18:18" x14ac:dyDescent="0.25">
      <c r="R51" s="45"/>
    </row>
    <row r="52" spans="18:18" x14ac:dyDescent="0.25">
      <c r="R52" s="45"/>
    </row>
    <row r="53" spans="18:18" x14ac:dyDescent="0.25">
      <c r="R53" s="45"/>
    </row>
    <row r="54" spans="18:18" x14ac:dyDescent="0.25">
      <c r="R54" s="45"/>
    </row>
    <row r="55" spans="18:18" x14ac:dyDescent="0.25">
      <c r="R55" s="45"/>
    </row>
    <row r="56" spans="18:18" x14ac:dyDescent="0.25">
      <c r="R56" s="45"/>
    </row>
    <row r="57" spans="18:18" x14ac:dyDescent="0.25">
      <c r="R57" s="148"/>
    </row>
    <row r="58" spans="18:18" x14ac:dyDescent="0.25">
      <c r="R58" s="148"/>
    </row>
    <row r="59" spans="18:18" x14ac:dyDescent="0.25">
      <c r="R59" s="148"/>
    </row>
    <row r="60" spans="18:18" x14ac:dyDescent="0.25">
      <c r="R60" s="148"/>
    </row>
    <row r="61" spans="18:18" x14ac:dyDescent="0.25">
      <c r="R61" s="148"/>
    </row>
    <row r="62" spans="18:18" x14ac:dyDescent="0.25">
      <c r="R62" s="148"/>
    </row>
    <row r="63" spans="18:18" x14ac:dyDescent="0.25">
      <c r="R63" s="148"/>
    </row>
    <row r="64" spans="18:18" x14ac:dyDescent="0.25">
      <c r="R64" s="45"/>
    </row>
    <row r="65" spans="18:18" x14ac:dyDescent="0.25">
      <c r="R65" s="45"/>
    </row>
    <row r="66" spans="18:18" x14ac:dyDescent="0.25">
      <c r="R66" s="45"/>
    </row>
    <row r="67" spans="18:18" x14ac:dyDescent="0.25">
      <c r="R67" s="45"/>
    </row>
    <row r="69" spans="18:18" ht="17.850000000000001" x14ac:dyDescent="0.35">
      <c r="R69" s="149"/>
    </row>
    <row r="70" spans="18:18" ht="17.850000000000001" x14ac:dyDescent="0.35">
      <c r="R70" s="149"/>
    </row>
    <row r="71" spans="18:18" ht="13.85" x14ac:dyDescent="0.25">
      <c r="R71" s="59"/>
    </row>
    <row r="72" spans="18:18" x14ac:dyDescent="0.25">
      <c r="R72" s="45"/>
    </row>
    <row r="73" spans="18:18" x14ac:dyDescent="0.25">
      <c r="R73" s="150"/>
    </row>
    <row r="74" spans="18:18" x14ac:dyDescent="0.25">
      <c r="R74" s="151"/>
    </row>
    <row r="75" spans="18:18" x14ac:dyDescent="0.25">
      <c r="R75" s="151"/>
    </row>
    <row r="76" spans="18:18" x14ac:dyDescent="0.25">
      <c r="R76" s="45"/>
    </row>
    <row r="77" spans="18:18" x14ac:dyDescent="0.25">
      <c r="R77" s="45"/>
    </row>
    <row r="78" spans="18:18" x14ac:dyDescent="0.25">
      <c r="R78" s="45"/>
    </row>
    <row r="79" spans="18:18" x14ac:dyDescent="0.25">
      <c r="R79" s="45"/>
    </row>
    <row r="80" spans="18:18" x14ac:dyDescent="0.25">
      <c r="R80" s="45"/>
    </row>
    <row r="81" spans="18:18" x14ac:dyDescent="0.25">
      <c r="R81" s="45"/>
    </row>
    <row r="82" spans="18:18" x14ac:dyDescent="0.25">
      <c r="R82" s="45"/>
    </row>
    <row r="83" spans="18:18" x14ac:dyDescent="0.25">
      <c r="R83" s="45"/>
    </row>
    <row r="84" spans="18:18" x14ac:dyDescent="0.25">
      <c r="R84" s="45"/>
    </row>
    <row r="85" spans="18:18" x14ac:dyDescent="0.25">
      <c r="R85" s="45"/>
    </row>
    <row r="86" spans="18:18" x14ac:dyDescent="0.25">
      <c r="R86" s="45"/>
    </row>
    <row r="87" spans="18:18" x14ac:dyDescent="0.25">
      <c r="R87" s="45"/>
    </row>
    <row r="88" spans="18:18" x14ac:dyDescent="0.25">
      <c r="R88" s="45"/>
    </row>
    <row r="89" spans="18:18" x14ac:dyDescent="0.25">
      <c r="R89" s="45"/>
    </row>
    <row r="90" spans="18:18" x14ac:dyDescent="0.25">
      <c r="R90" s="45"/>
    </row>
    <row r="91" spans="18:18" x14ac:dyDescent="0.25">
      <c r="R91" s="45"/>
    </row>
    <row r="92" spans="18:18" x14ac:dyDescent="0.25">
      <c r="R92" s="45"/>
    </row>
    <row r="93" spans="18:18" x14ac:dyDescent="0.25">
      <c r="R93" s="45"/>
    </row>
    <row r="94" spans="18:18" x14ac:dyDescent="0.25">
      <c r="R94" s="148"/>
    </row>
    <row r="95" spans="18:18" x14ac:dyDescent="0.25">
      <c r="R95" s="148"/>
    </row>
    <row r="96" spans="18:18" x14ac:dyDescent="0.25">
      <c r="R96" s="148"/>
    </row>
    <row r="97" spans="18:18" x14ac:dyDescent="0.25">
      <c r="R97" s="148"/>
    </row>
    <row r="98" spans="18:18" x14ac:dyDescent="0.25">
      <c r="R98" s="148"/>
    </row>
    <row r="99" spans="18:18" x14ac:dyDescent="0.25">
      <c r="R99" s="148"/>
    </row>
    <row r="100" spans="18:18" x14ac:dyDescent="0.25">
      <c r="R100" s="148"/>
    </row>
    <row r="101" spans="18:18" x14ac:dyDescent="0.25">
      <c r="R101" s="45"/>
    </row>
    <row r="102" spans="18:18" x14ac:dyDescent="0.25">
      <c r="R102" s="45"/>
    </row>
    <row r="103" spans="18:18" x14ac:dyDescent="0.25">
      <c r="R103" s="45"/>
    </row>
    <row r="104" spans="18:18" x14ac:dyDescent="0.25">
      <c r="R104" s="4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FEE-02F7-4561-9BF5-9B08ECBC4174}">
  <sheetPr codeName="גיליון2"/>
  <dimension ref="A1:X108"/>
  <sheetViews>
    <sheetView rightToLeft="1" topLeftCell="B1" workbookViewId="0">
      <selection activeCell="O8" sqref="O8"/>
    </sheetView>
  </sheetViews>
  <sheetFormatPr defaultRowHeight="12.7" x14ac:dyDescent="0.25"/>
  <cols>
    <col min="1" max="1" width="11" customWidth="1"/>
    <col min="2" max="2" width="8.88671875" customWidth="1"/>
    <col min="4" max="4" width="14.33203125" bestFit="1" customWidth="1"/>
    <col min="5" max="5" width="12" bestFit="1" customWidth="1"/>
    <col min="6" max="7" width="9.6640625" customWidth="1"/>
    <col min="8" max="8" width="1.88671875" customWidth="1"/>
    <col min="9" max="9" width="10" customWidth="1"/>
    <col min="10" max="10" width="9.6640625" customWidth="1"/>
    <col min="11" max="11" width="1.88671875" customWidth="1"/>
    <col min="12" max="12" width="10.33203125" customWidth="1"/>
    <col min="13" max="13" width="2.109375" customWidth="1"/>
    <col min="14" max="14" width="10.21875" customWidth="1"/>
    <col min="15" max="15" width="10.109375" customWidth="1"/>
    <col min="16" max="16" width="7.109375" customWidth="1"/>
    <col min="17" max="17" width="10.109375" customWidth="1"/>
    <col min="20" max="20" width="8.88671875" customWidth="1"/>
  </cols>
  <sheetData>
    <row r="1" spans="1:24" s="1" customFormat="1" ht="15.55" x14ac:dyDescent="0.3">
      <c r="F1" s="1" t="s">
        <v>0</v>
      </c>
    </row>
    <row r="2" spans="1:24" s="1" customFormat="1" ht="16.149999999999999" thickBot="1" x14ac:dyDescent="0.35">
      <c r="C2" s="1" t="s">
        <v>1</v>
      </c>
    </row>
    <row r="3" spans="1:24" ht="13.25" thickBot="1" x14ac:dyDescent="0.3">
      <c r="C3" s="104"/>
      <c r="D3" s="452" t="s">
        <v>2</v>
      </c>
      <c r="E3" s="7" t="s">
        <v>3</v>
      </c>
    </row>
    <row r="4" spans="1:24" ht="15.55" x14ac:dyDescent="0.3">
      <c r="C4" s="8" t="s">
        <v>4</v>
      </c>
      <c r="D4" s="10">
        <f>O7</f>
        <v>15</v>
      </c>
      <c r="E4" s="11">
        <f>+O8</f>
        <v>42825</v>
      </c>
      <c r="R4" s="1"/>
    </row>
    <row r="5" spans="1:24" ht="13.25" thickBot="1" x14ac:dyDescent="0.3">
      <c r="C5" s="12" t="s">
        <v>5</v>
      </c>
      <c r="D5" s="14">
        <f>+J7</f>
        <v>20.329999999999998</v>
      </c>
      <c r="E5" s="15">
        <f>+J8</f>
        <v>13905</v>
      </c>
      <c r="L5" s="16" t="s">
        <v>127</v>
      </c>
      <c r="Q5" t="s">
        <v>121</v>
      </c>
    </row>
    <row r="6" spans="1:24" ht="13.25" thickBot="1" x14ac:dyDescent="0.3">
      <c r="O6" s="397" t="s">
        <v>122</v>
      </c>
      <c r="Q6" s="386" t="s">
        <v>23</v>
      </c>
      <c r="R6" s="399" t="s">
        <v>120</v>
      </c>
    </row>
    <row r="7" spans="1:24" ht="13.25" thickBot="1" x14ac:dyDescent="0.3">
      <c r="D7" s="369" t="s">
        <v>20</v>
      </c>
      <c r="I7" s="392" t="s">
        <v>7</v>
      </c>
      <c r="J7" s="454">
        <v>20.329999999999998</v>
      </c>
      <c r="K7" s="380"/>
      <c r="L7" s="377">
        <f>J7/Q7</f>
        <v>0.57543164449476358</v>
      </c>
      <c r="N7" s="379" t="s">
        <v>8</v>
      </c>
      <c r="O7" s="453">
        <v>15</v>
      </c>
      <c r="P7" s="387">
        <f>O7/Q7</f>
        <v>0.42456835550523636</v>
      </c>
      <c r="Q7" s="388">
        <f>J7+O7</f>
        <v>35.33</v>
      </c>
      <c r="R7" s="398">
        <f>MAX(IF(Q7&lt;35,,(Q7-35)),)</f>
        <v>0.32999999999999829</v>
      </c>
      <c r="S7" s="20"/>
    </row>
    <row r="8" spans="1:24" ht="13.25" thickBot="1" x14ac:dyDescent="0.3">
      <c r="G8" t="s">
        <v>20</v>
      </c>
      <c r="I8" s="378" t="s">
        <v>116</v>
      </c>
      <c r="J8" s="455">
        <v>13905</v>
      </c>
      <c r="K8" s="68"/>
      <c r="L8" s="65"/>
      <c r="N8" s="378" t="s">
        <v>11</v>
      </c>
      <c r="O8" s="456">
        <v>42825</v>
      </c>
      <c r="P8" s="389"/>
      <c r="Q8" s="390">
        <f>L7+P7</f>
        <v>1</v>
      </c>
      <c r="S8" s="23"/>
      <c r="U8" s="370"/>
    </row>
    <row r="9" spans="1:24" ht="23.05" customHeight="1" thickBot="1" x14ac:dyDescent="0.3">
      <c r="I9" s="21"/>
      <c r="J9" s="381"/>
      <c r="K9" s="373"/>
      <c r="L9" s="373"/>
      <c r="M9" s="373"/>
      <c r="N9" s="385"/>
      <c r="O9" s="381"/>
      <c r="Q9" s="391"/>
      <c r="R9" s="373"/>
      <c r="S9" s="23"/>
    </row>
    <row r="10" spans="1:24" ht="17.850000000000001" x14ac:dyDescent="0.35">
      <c r="B10" s="4"/>
      <c r="C10" s="18" t="s">
        <v>9</v>
      </c>
      <c r="D10" s="25">
        <v>0.02</v>
      </c>
      <c r="E10" s="407" t="s">
        <v>124</v>
      </c>
      <c r="F10" s="408" t="s">
        <v>12</v>
      </c>
      <c r="G10" s="152"/>
      <c r="H10" s="3" t="s">
        <v>13</v>
      </c>
      <c r="I10" s="382" t="s">
        <v>14</v>
      </c>
      <c r="J10" s="384" t="s">
        <v>15</v>
      </c>
      <c r="K10" s="29" t="s">
        <v>16</v>
      </c>
      <c r="L10" s="372" t="s">
        <v>10</v>
      </c>
      <c r="M10" s="31" t="s">
        <v>17</v>
      </c>
      <c r="N10" s="382" t="s">
        <v>112</v>
      </c>
      <c r="O10" s="395" t="s">
        <v>125</v>
      </c>
      <c r="P10" s="29"/>
      <c r="Q10" s="372" t="s">
        <v>19</v>
      </c>
      <c r="S10" s="34"/>
      <c r="W10" s="376">
        <f>O12/O7</f>
        <v>0.99065949617888494</v>
      </c>
    </row>
    <row r="11" spans="1:24" ht="13.25" thickBot="1" x14ac:dyDescent="0.3">
      <c r="A11" s="35" t="s">
        <v>20</v>
      </c>
      <c r="B11" s="36"/>
      <c r="D11" s="37">
        <v>0.7</v>
      </c>
      <c r="E11" s="36"/>
      <c r="F11" s="410" t="s">
        <v>21</v>
      </c>
      <c r="G11" s="409" t="s">
        <v>4</v>
      </c>
      <c r="I11" s="411" t="s">
        <v>22</v>
      </c>
      <c r="J11" s="414" t="s">
        <v>23</v>
      </c>
      <c r="K11" s="64"/>
      <c r="L11" s="415" t="s">
        <v>111</v>
      </c>
      <c r="N11" s="411" t="s">
        <v>117</v>
      </c>
      <c r="O11" s="412" t="s">
        <v>118</v>
      </c>
      <c r="P11" s="64"/>
      <c r="Q11" s="413" t="s">
        <v>24</v>
      </c>
      <c r="S11" s="44"/>
      <c r="U11" s="45"/>
      <c r="V11" s="47"/>
      <c r="W11" s="46"/>
    </row>
    <row r="12" spans="1:24" ht="18.45" thickBot="1" x14ac:dyDescent="0.4">
      <c r="B12" s="48"/>
      <c r="C12" s="49" t="s">
        <v>25</v>
      </c>
      <c r="D12" s="404">
        <f>(E12* D11)</f>
        <v>18328.461788848002</v>
      </c>
      <c r="E12" s="403">
        <f>G12+F12</f>
        <v>26183.516841211436</v>
      </c>
      <c r="F12" s="402">
        <f>J8*J7/Q7</f>
        <v>8001.3770166996883</v>
      </c>
      <c r="G12" s="50">
        <f>O8*O7/Q7</f>
        <v>18182.139824511749</v>
      </c>
      <c r="I12" s="368">
        <f>J12/Q7</f>
        <v>0.5700568230205697</v>
      </c>
      <c r="J12" s="394">
        <f>IF(R7&gt;0,J7-(R7*L7),J7)</f>
        <v>20.140107557316728</v>
      </c>
      <c r="K12" s="374" t="s">
        <v>16</v>
      </c>
      <c r="L12" s="53">
        <f>+E5</f>
        <v>13905</v>
      </c>
      <c r="M12" s="31" t="s">
        <v>17</v>
      </c>
      <c r="N12" s="368">
        <f>IF(Q7&lt;=35,(O12/Q7),(O12-(Q7-35))/Q7)</f>
        <v>0.4112621693372</v>
      </c>
      <c r="O12" s="396">
        <f>IF(R7&gt;0,(O7-(R7*P7)),O7)</f>
        <v>14.859892442683273</v>
      </c>
      <c r="P12" s="374" t="s">
        <v>16</v>
      </c>
      <c r="Q12" s="53">
        <f>+E4</f>
        <v>42825</v>
      </c>
      <c r="S12" s="44"/>
      <c r="T12" s="370" t="s">
        <v>20</v>
      </c>
      <c r="U12" s="59"/>
      <c r="W12" s="59"/>
      <c r="X12" s="59"/>
    </row>
    <row r="13" spans="1:24" ht="11.7" customHeight="1" thickBot="1" x14ac:dyDescent="0.4">
      <c r="B13" s="48"/>
      <c r="C13" s="431"/>
      <c r="D13" s="403">
        <f>G13+F13</f>
        <v>18328.461788848006</v>
      </c>
      <c r="E13" s="403">
        <f>G13+F13</f>
        <v>18328.461788848006</v>
      </c>
      <c r="F13" s="371">
        <f>F12*D11</f>
        <v>5600.9639116897815</v>
      </c>
      <c r="G13" s="402">
        <f>G12*D11</f>
        <v>12727.497877158223</v>
      </c>
      <c r="I13" s="368"/>
      <c r="J13" s="442"/>
      <c r="K13" s="374"/>
      <c r="L13" s="53"/>
      <c r="M13" s="31"/>
      <c r="N13" s="433"/>
      <c r="O13" s="434"/>
      <c r="P13" s="374"/>
      <c r="Q13" s="53"/>
      <c r="S13" s="44"/>
      <c r="T13" s="370"/>
      <c r="U13" s="59"/>
      <c r="W13" s="59"/>
      <c r="X13" s="59"/>
    </row>
    <row r="14" spans="1:24" ht="16.149999999999999" thickBot="1" x14ac:dyDescent="0.35">
      <c r="B14" s="60"/>
      <c r="C14" s="61" t="s">
        <v>26</v>
      </c>
      <c r="D14" s="427">
        <f>D12/Q7/E12</f>
        <v>1.9813189923577692E-2</v>
      </c>
      <c r="E14" s="428" t="s">
        <v>20</v>
      </c>
      <c r="F14" s="429" t="s">
        <v>20</v>
      </c>
      <c r="G14" s="430" t="s">
        <v>20</v>
      </c>
      <c r="I14" s="383" t="s">
        <v>126</v>
      </c>
      <c r="J14" s="401">
        <f>J12-J7</f>
        <v>-0.18989244268326999</v>
      </c>
      <c r="K14" s="64"/>
      <c r="L14" s="406" t="s">
        <v>20</v>
      </c>
      <c r="N14" s="400">
        <f>N12-P7</f>
        <v>-1.330618616803636E-2</v>
      </c>
      <c r="O14" s="401">
        <f>O12-O7</f>
        <v>-0.14010755731672653</v>
      </c>
      <c r="P14" s="67" t="s">
        <v>20</v>
      </c>
      <c r="Q14" s="65"/>
      <c r="S14" s="44"/>
      <c r="U14" s="45"/>
      <c r="V14" s="70"/>
      <c r="W14" s="70"/>
      <c r="X14" s="70"/>
    </row>
    <row r="15" spans="1:24" ht="16.149999999999999" thickBot="1" x14ac:dyDescent="0.35">
      <c r="B15" s="446"/>
      <c r="C15" s="447"/>
      <c r="D15" s="448"/>
      <c r="E15" s="428">
        <f>G15+F15</f>
        <v>17986.067654100207</v>
      </c>
      <c r="F15" s="432">
        <f>D12*I12</f>
        <v>10448.264698204601</v>
      </c>
      <c r="G15" s="451">
        <f>D12*N12</f>
        <v>7537.8029558956068</v>
      </c>
      <c r="I15" s="443"/>
      <c r="J15" s="444"/>
      <c r="K15" s="373"/>
      <c r="L15" s="405"/>
      <c r="N15" s="391"/>
      <c r="O15" s="445"/>
      <c r="P15" s="405"/>
      <c r="Q15" s="373"/>
      <c r="S15" s="44"/>
      <c r="U15" s="45"/>
      <c r="V15" s="70"/>
      <c r="W15" s="70"/>
      <c r="X15" s="70"/>
    </row>
    <row r="16" spans="1:24" ht="13.25" thickBot="1" x14ac:dyDescent="0.3">
      <c r="D16" s="82" t="s">
        <v>20</v>
      </c>
      <c r="E16" s="82" t="s">
        <v>20</v>
      </c>
      <c r="G16" t="s">
        <v>20</v>
      </c>
      <c r="M16" s="373"/>
      <c r="S16" s="44"/>
      <c r="T16" s="375" t="s">
        <v>20</v>
      </c>
      <c r="U16" s="71"/>
      <c r="V16" s="70"/>
      <c r="W16" s="70"/>
      <c r="X16" s="70"/>
    </row>
    <row r="17" spans="1:24" ht="13.85" x14ac:dyDescent="0.25">
      <c r="B17" s="4"/>
      <c r="C17" s="24"/>
      <c r="D17" s="24"/>
      <c r="E17" s="4"/>
      <c r="F17" s="408" t="s">
        <v>12</v>
      </c>
      <c r="G17" s="5"/>
      <c r="H17" s="24"/>
      <c r="I17" s="27" t="s">
        <v>112</v>
      </c>
      <c r="J17" s="420" t="s">
        <v>15</v>
      </c>
      <c r="K17" s="24"/>
      <c r="L17" s="423" t="s">
        <v>10</v>
      </c>
      <c r="M17" s="373"/>
      <c r="N17" s="382" t="s">
        <v>112</v>
      </c>
      <c r="O17" s="417" t="s">
        <v>123</v>
      </c>
      <c r="P17" s="26"/>
      <c r="Q17" s="111" t="s">
        <v>19</v>
      </c>
      <c r="S17" s="44"/>
      <c r="T17" s="375" t="s">
        <v>20</v>
      </c>
      <c r="U17" s="74"/>
      <c r="V17" s="75"/>
      <c r="W17" s="75"/>
      <c r="X17" s="76"/>
    </row>
    <row r="18" spans="1:24" ht="13.25" thickBot="1" x14ac:dyDescent="0.3">
      <c r="B18" s="36"/>
      <c r="E18" s="36"/>
      <c r="F18" s="410" t="s">
        <v>21</v>
      </c>
      <c r="G18" s="409" t="s">
        <v>4</v>
      </c>
      <c r="I18" s="421" t="s">
        <v>115</v>
      </c>
      <c r="J18" s="422" t="s">
        <v>28</v>
      </c>
      <c r="L18" s="424" t="s">
        <v>111</v>
      </c>
      <c r="N18" s="416" t="s">
        <v>113</v>
      </c>
      <c r="O18" s="418" t="s">
        <v>28</v>
      </c>
      <c r="P18" s="64"/>
      <c r="Q18" s="419" t="s">
        <v>35</v>
      </c>
      <c r="S18" s="44"/>
      <c r="U18" s="45"/>
      <c r="V18" s="80"/>
      <c r="W18" s="81"/>
      <c r="X18" s="81"/>
    </row>
    <row r="19" spans="1:24" ht="13.85" x14ac:dyDescent="0.25">
      <c r="B19" s="36"/>
      <c r="D19" s="82" t="s">
        <v>20</v>
      </c>
      <c r="E19" s="36"/>
      <c r="G19" s="9"/>
      <c r="I19" s="365" t="s">
        <v>20</v>
      </c>
      <c r="J19" s="3" t="s">
        <v>20</v>
      </c>
      <c r="L19" s="9"/>
      <c r="N19" s="365" t="s">
        <v>114</v>
      </c>
      <c r="O19" s="83"/>
      <c r="Q19" s="9"/>
      <c r="S19" s="44"/>
      <c r="T19" s="79"/>
      <c r="U19" s="45"/>
      <c r="V19" s="84"/>
      <c r="W19" s="84"/>
      <c r="X19" s="84"/>
    </row>
    <row r="20" spans="1:24" ht="18.45" thickBot="1" x14ac:dyDescent="0.4">
      <c r="A20">
        <f>D20/D12</f>
        <v>1.0138736954467722</v>
      </c>
      <c r="B20" s="36"/>
      <c r="C20" s="85" t="s">
        <v>29</v>
      </c>
      <c r="D20" s="52">
        <f>E20*D10*Q7-R7</f>
        <v>18582.745285714282</v>
      </c>
      <c r="E20" s="86">
        <f>((Q20*O20)+(J20*L20))/(O20+J20)</f>
        <v>26299.285714285714</v>
      </c>
      <c r="F20" s="87">
        <f>(L20*J20)/(O20+J20)</f>
        <v>7945.7142857142853</v>
      </c>
      <c r="G20" s="50">
        <f>Q20*O20/(O20+J20)</f>
        <v>18353.571428571428</v>
      </c>
      <c r="I20" s="366">
        <f>J20/(J20+O20)</f>
        <v>0.5714285714285714</v>
      </c>
      <c r="J20" s="425">
        <f>MAX(IF((J7+O7)&lt;=35,J7,(35-O7)),)</f>
        <v>20</v>
      </c>
      <c r="K20" s="90" t="s">
        <v>16</v>
      </c>
      <c r="L20" s="91">
        <f>E5</f>
        <v>13905</v>
      </c>
      <c r="M20" s="31" t="s">
        <v>17</v>
      </c>
      <c r="N20" s="367">
        <f>IF(O7&lt;=35,O20/(O20+J20),100%)</f>
        <v>0.42857142857142855</v>
      </c>
      <c r="O20" s="93">
        <f>O7</f>
        <v>15</v>
      </c>
      <c r="P20" s="56" t="s">
        <v>16</v>
      </c>
      <c r="Q20" s="50">
        <f>+E4</f>
        <v>42825</v>
      </c>
      <c r="S20" s="44"/>
      <c r="T20" s="79"/>
      <c r="U20" s="45"/>
      <c r="V20" s="84"/>
      <c r="W20" s="84" t="s">
        <v>119</v>
      </c>
      <c r="X20" s="84"/>
    </row>
    <row r="21" spans="1:24" ht="18.45" thickBot="1" x14ac:dyDescent="0.4">
      <c r="B21" s="94"/>
      <c r="C21" s="95" t="s">
        <v>26</v>
      </c>
      <c r="D21" s="96">
        <f>D20/(O7+J7)/E20</f>
        <v>1.9999644838117558E-2</v>
      </c>
      <c r="E21" s="435"/>
      <c r="F21" s="87"/>
      <c r="G21" s="432"/>
      <c r="I21" s="436"/>
      <c r="J21" s="438"/>
      <c r="K21" s="90"/>
      <c r="L21" s="437"/>
      <c r="M21" s="31"/>
      <c r="O21" s="439"/>
      <c r="P21" s="440"/>
      <c r="Q21" s="441"/>
      <c r="S21" s="44"/>
      <c r="T21" s="79"/>
      <c r="U21" s="45"/>
      <c r="V21" s="84"/>
      <c r="W21" s="84"/>
      <c r="X21" s="84"/>
    </row>
    <row r="22" spans="1:24" ht="14.4" thickBot="1" x14ac:dyDescent="0.3">
      <c r="E22" s="428">
        <f>G22+F22</f>
        <v>525.98571428571427</v>
      </c>
      <c r="F22" s="429">
        <f>F20*$D$10</f>
        <v>158.91428571428571</v>
      </c>
      <c r="G22" s="430">
        <f>G20*$D$10</f>
        <v>367.07142857142856</v>
      </c>
      <c r="H22" s="17"/>
      <c r="I22" s="450">
        <f>D20*I20</f>
        <v>10618.711591836733</v>
      </c>
      <c r="J22" s="426">
        <f>J20-J7</f>
        <v>-0.32999999999999829</v>
      </c>
      <c r="K22" s="17"/>
      <c r="L22" s="17"/>
      <c r="M22" s="17"/>
      <c r="N22" s="449">
        <f>D20*N20</f>
        <v>7964.033693877549</v>
      </c>
      <c r="O22" s="98" t="s">
        <v>20</v>
      </c>
      <c r="P22" s="17"/>
      <c r="Q22" s="13"/>
      <c r="S22" s="393" t="s">
        <v>20</v>
      </c>
      <c r="T22" s="99"/>
      <c r="U22" s="45"/>
      <c r="V22" s="84"/>
      <c r="W22" s="84"/>
      <c r="X22" s="84"/>
    </row>
    <row r="23" spans="1:24" ht="13.85" x14ac:dyDescent="0.25">
      <c r="J23" s="100"/>
      <c r="L23" s="83"/>
      <c r="O23" s="100"/>
      <c r="S23" s="44"/>
      <c r="T23" s="99"/>
      <c r="U23" s="45"/>
      <c r="V23" s="84"/>
      <c r="W23" s="84"/>
      <c r="X23" s="84"/>
    </row>
    <row r="24" spans="1:24" ht="13.85" x14ac:dyDescent="0.25">
      <c r="S24" s="44"/>
      <c r="T24" s="99"/>
      <c r="U24" s="45"/>
      <c r="V24" s="84"/>
      <c r="W24" s="84"/>
      <c r="X24" s="84"/>
    </row>
    <row r="25" spans="1:24" ht="13.85" x14ac:dyDescent="0.25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44"/>
      <c r="T25" s="99"/>
      <c r="U25" s="45"/>
      <c r="V25" s="84"/>
      <c r="W25" s="84"/>
      <c r="X25" s="84"/>
    </row>
    <row r="26" spans="1:24" ht="14.4" thickBot="1" x14ac:dyDescent="0.3">
      <c r="A26" s="101"/>
      <c r="B26" s="101"/>
      <c r="D26" s="102"/>
      <c r="E26" s="3"/>
      <c r="F26" s="103"/>
      <c r="S26" s="44"/>
      <c r="T26" s="99"/>
      <c r="U26" s="45"/>
      <c r="V26" s="84"/>
      <c r="W26" s="84"/>
      <c r="X26" s="84"/>
    </row>
    <row r="27" spans="1:24" ht="13.85" x14ac:dyDescent="0.25">
      <c r="D27" s="104" t="s">
        <v>30</v>
      </c>
      <c r="E27" s="105" t="s">
        <v>19</v>
      </c>
      <c r="F27" s="106" t="s">
        <v>10</v>
      </c>
      <c r="G27" s="107" t="s">
        <v>31</v>
      </c>
      <c r="H27" s="108" t="s">
        <v>13</v>
      </c>
      <c r="I27" s="109" t="s">
        <v>32</v>
      </c>
      <c r="J27" s="110" t="s">
        <v>15</v>
      </c>
      <c r="K27" s="26" t="s">
        <v>16</v>
      </c>
      <c r="L27" s="111" t="s">
        <v>10</v>
      </c>
      <c r="M27" s="112" t="s">
        <v>17</v>
      </c>
      <c r="N27" s="113" t="s">
        <v>32</v>
      </c>
      <c r="O27" s="33" t="s">
        <v>27</v>
      </c>
      <c r="P27" s="114" t="s">
        <v>16</v>
      </c>
      <c r="Q27" s="111" t="s">
        <v>19</v>
      </c>
      <c r="S27" s="44"/>
      <c r="T27" s="99"/>
      <c r="U27" s="45"/>
      <c r="V27" s="84"/>
      <c r="W27" s="84"/>
      <c r="X27" s="84"/>
    </row>
    <row r="28" spans="1:24" ht="14.4" thickBot="1" x14ac:dyDescent="0.3">
      <c r="B28" s="16" t="s">
        <v>25</v>
      </c>
      <c r="D28" s="115">
        <v>0.02</v>
      </c>
      <c r="E28" s="116" t="s">
        <v>33</v>
      </c>
      <c r="F28" s="117" t="s">
        <v>34</v>
      </c>
      <c r="G28" s="65" t="s">
        <v>35</v>
      </c>
      <c r="H28" s="118"/>
      <c r="I28" s="119" t="s">
        <v>22</v>
      </c>
      <c r="J28" s="64" t="s">
        <v>28</v>
      </c>
      <c r="K28" s="64"/>
      <c r="L28" s="65" t="s">
        <v>36</v>
      </c>
      <c r="M28" s="68"/>
      <c r="N28" s="120" t="s">
        <v>22</v>
      </c>
      <c r="O28" s="121" t="s">
        <v>28</v>
      </c>
      <c r="P28" s="64"/>
      <c r="Q28" s="65" t="s">
        <v>24</v>
      </c>
      <c r="S28" s="44"/>
      <c r="T28" s="99"/>
      <c r="U28" s="45"/>
      <c r="V28" s="84"/>
      <c r="W28" s="84"/>
      <c r="X28" s="84"/>
    </row>
    <row r="29" spans="1:24" ht="15.55" x14ac:dyDescent="0.3">
      <c r="D29" s="122">
        <v>18218.628000000001</v>
      </c>
      <c r="E29" s="123">
        <v>26026.611428571428</v>
      </c>
      <c r="F29" s="124">
        <f>L29*I29</f>
        <v>8076.818571428571</v>
      </c>
      <c r="G29" s="125">
        <f>Q29*N29</f>
        <v>17949.792857142857</v>
      </c>
      <c r="H29" s="126"/>
      <c r="I29" s="127">
        <f>J29/J30</f>
        <v>0.58085714285714285</v>
      </c>
      <c r="J29" s="128">
        <v>20.329999999999998</v>
      </c>
      <c r="K29" t="s">
        <v>16</v>
      </c>
      <c r="L29" s="129">
        <v>13905</v>
      </c>
      <c r="M29" s="130" t="s">
        <v>17</v>
      </c>
      <c r="N29" s="131">
        <f>O29/O30</f>
        <v>0.41914285714285715</v>
      </c>
      <c r="O29" s="132">
        <v>14.67</v>
      </c>
      <c r="P29" s="133" t="s">
        <v>16</v>
      </c>
      <c r="Q29" s="129">
        <v>42825</v>
      </c>
      <c r="R29" s="1"/>
      <c r="S29" s="44"/>
      <c r="T29" s="134"/>
      <c r="U29" s="45"/>
      <c r="V29" s="135"/>
      <c r="W29" s="84"/>
      <c r="X29" s="84"/>
    </row>
    <row r="30" spans="1:24" ht="16.149999999999999" thickBot="1" x14ac:dyDescent="0.35">
      <c r="D30" s="136"/>
      <c r="E30" s="65"/>
      <c r="F30" s="68"/>
      <c r="G30" s="65"/>
      <c r="I30" s="136"/>
      <c r="J30" s="137">
        <v>35</v>
      </c>
      <c r="K30" s="17"/>
      <c r="L30" s="13"/>
      <c r="N30" s="136"/>
      <c r="O30" s="138">
        <v>35</v>
      </c>
      <c r="P30" s="17"/>
      <c r="Q30" s="13"/>
      <c r="R30" s="2"/>
      <c r="S30" s="44"/>
      <c r="T30" s="134"/>
      <c r="U30" s="45"/>
      <c r="V30" s="135"/>
      <c r="W30" s="84"/>
      <c r="X30" s="84"/>
    </row>
    <row r="31" spans="1:24" ht="15.55" x14ac:dyDescent="0.3">
      <c r="J31" t="s">
        <v>20</v>
      </c>
      <c r="L31" s="139"/>
      <c r="O31" s="83"/>
      <c r="Q31" s="83"/>
      <c r="S31" s="44"/>
      <c r="T31" s="44"/>
      <c r="U31" s="45"/>
      <c r="V31" s="84"/>
      <c r="W31" s="84"/>
      <c r="X31" s="84"/>
    </row>
    <row r="32" spans="1:24" ht="13.85" x14ac:dyDescent="0.25">
      <c r="S32" s="44"/>
      <c r="T32" s="44"/>
      <c r="U32" s="45"/>
      <c r="V32" s="84"/>
      <c r="W32" s="84"/>
      <c r="X32" s="84"/>
    </row>
    <row r="33" spans="4:24" ht="13.85" x14ac:dyDescent="0.25">
      <c r="O33" s="140"/>
      <c r="S33" s="44"/>
      <c r="T33" s="44"/>
      <c r="U33" s="45"/>
      <c r="V33" s="84"/>
      <c r="W33" s="84"/>
      <c r="X33" s="84"/>
    </row>
    <row r="34" spans="4:24" ht="15.55" x14ac:dyDescent="0.4">
      <c r="L34" s="141"/>
      <c r="O34" s="142"/>
      <c r="S34" s="44"/>
      <c r="T34" s="44"/>
      <c r="U34" s="45"/>
      <c r="V34" s="84"/>
      <c r="W34" s="84"/>
      <c r="X34" s="84"/>
    </row>
    <row r="35" spans="4:24" ht="13.85" x14ac:dyDescent="0.25">
      <c r="D35" s="143"/>
      <c r="F35" s="52"/>
      <c r="G35" s="100"/>
      <c r="J35" s="52"/>
      <c r="K35" s="83"/>
      <c r="M35" s="144"/>
      <c r="N35" s="144"/>
      <c r="P35" s="83"/>
      <c r="R35" s="52"/>
      <c r="S35" s="44"/>
      <c r="T35" s="44"/>
      <c r="U35" s="45">
        <v>8</v>
      </c>
      <c r="V35" s="84"/>
      <c r="W35" s="84"/>
      <c r="X35" s="84"/>
    </row>
    <row r="36" spans="4:24" ht="13.85" x14ac:dyDescent="0.25">
      <c r="J36" s="52"/>
      <c r="O36" s="52"/>
      <c r="S36" s="44"/>
      <c r="T36" s="44"/>
      <c r="U36" s="45"/>
      <c r="V36" s="84"/>
      <c r="W36" s="84"/>
      <c r="X36" s="84"/>
    </row>
    <row r="37" spans="4:24" ht="13.85" x14ac:dyDescent="0.25">
      <c r="S37" s="44"/>
      <c r="T37" s="44"/>
      <c r="U37" s="45"/>
      <c r="V37" s="84"/>
      <c r="W37" s="84"/>
      <c r="X37" s="84"/>
    </row>
    <row r="38" spans="4:24" ht="13.85" x14ac:dyDescent="0.25">
      <c r="I38" s="145"/>
      <c r="S38" s="44"/>
      <c r="T38" s="44"/>
      <c r="U38" s="45"/>
      <c r="V38" s="84"/>
      <c r="W38" s="146"/>
      <c r="X38" s="84"/>
    </row>
    <row r="39" spans="4:24" ht="13.85" x14ac:dyDescent="0.25">
      <c r="E39" s="145"/>
      <c r="F39" s="145"/>
      <c r="I39" s="145"/>
      <c r="S39" s="44"/>
      <c r="T39" s="44"/>
      <c r="U39" s="45"/>
      <c r="V39" s="84"/>
      <c r="W39" s="146"/>
      <c r="X39" s="84"/>
    </row>
    <row r="40" spans="4:24" ht="13.85" x14ac:dyDescent="0.25">
      <c r="F40" s="145"/>
      <c r="I40" s="145"/>
      <c r="S40" s="44"/>
      <c r="T40" s="44"/>
      <c r="U40" s="45"/>
      <c r="V40" s="84"/>
      <c r="W40" s="84"/>
      <c r="X40" s="84"/>
    </row>
    <row r="41" spans="4:24" ht="13.85" x14ac:dyDescent="0.25">
      <c r="F41" s="145"/>
      <c r="I41" s="145"/>
      <c r="S41" s="44"/>
      <c r="T41" s="44"/>
      <c r="U41" s="45"/>
      <c r="V41" s="84"/>
      <c r="W41" s="84"/>
      <c r="X41" s="84"/>
    </row>
    <row r="42" spans="4:24" ht="13.85" x14ac:dyDescent="0.25">
      <c r="M42" s="147"/>
      <c r="N42" s="147"/>
      <c r="Q42" s="45"/>
      <c r="S42" s="44"/>
      <c r="T42" s="44"/>
      <c r="U42" s="45"/>
      <c r="V42" s="84"/>
      <c r="W42" s="84"/>
      <c r="X42" s="84"/>
    </row>
    <row r="43" spans="4:24" ht="13.85" x14ac:dyDescent="0.25">
      <c r="Q43" s="45"/>
      <c r="R43" s="45"/>
      <c r="S43" s="44"/>
      <c r="T43" s="44"/>
      <c r="U43" s="45"/>
      <c r="V43" s="84"/>
      <c r="W43" s="84"/>
      <c r="X43" s="84"/>
    </row>
    <row r="44" spans="4:24" ht="13.85" x14ac:dyDescent="0.25">
      <c r="R44" s="45"/>
      <c r="T44" s="44"/>
      <c r="U44" s="45"/>
      <c r="V44" s="84"/>
      <c r="W44" s="84"/>
      <c r="X44" s="84"/>
    </row>
    <row r="45" spans="4:24" ht="13.85" x14ac:dyDescent="0.25">
      <c r="R45" s="45"/>
      <c r="T45" s="44"/>
      <c r="U45" s="45"/>
      <c r="V45" s="84"/>
      <c r="W45" s="84"/>
      <c r="X45" s="84"/>
    </row>
    <row r="46" spans="4:24" ht="13.85" x14ac:dyDescent="0.25">
      <c r="R46" s="45"/>
      <c r="T46" s="44"/>
      <c r="U46" s="45"/>
      <c r="V46" s="84"/>
      <c r="W46" s="84"/>
      <c r="X46" s="84"/>
    </row>
    <row r="47" spans="4:24" ht="13.85" x14ac:dyDescent="0.25">
      <c r="R47" s="45"/>
      <c r="T47" s="44"/>
      <c r="U47" s="45"/>
      <c r="V47" s="84"/>
      <c r="W47" s="84"/>
      <c r="X47" s="84"/>
    </row>
    <row r="48" spans="4:24" ht="13.85" x14ac:dyDescent="0.25">
      <c r="R48" s="45"/>
      <c r="T48" s="44"/>
      <c r="U48" s="45"/>
      <c r="V48" s="84"/>
      <c r="W48" s="84"/>
      <c r="X48" s="84"/>
    </row>
    <row r="49" spans="18:24" ht="13.85" x14ac:dyDescent="0.25">
      <c r="R49" s="45"/>
      <c r="T49" s="44"/>
      <c r="U49" s="45"/>
      <c r="V49" s="84"/>
      <c r="W49" s="84"/>
      <c r="X49" s="84"/>
    </row>
    <row r="50" spans="18:24" ht="13.85" x14ac:dyDescent="0.25">
      <c r="R50" s="45"/>
      <c r="T50" s="44"/>
      <c r="U50" s="45"/>
      <c r="V50" s="84"/>
      <c r="W50" s="84"/>
      <c r="X50" s="84"/>
    </row>
    <row r="51" spans="18:24" x14ac:dyDescent="0.25">
      <c r="R51" s="45"/>
    </row>
    <row r="52" spans="18:24" x14ac:dyDescent="0.25">
      <c r="R52" s="45"/>
    </row>
    <row r="53" spans="18:24" x14ac:dyDescent="0.25">
      <c r="R53" s="45"/>
    </row>
    <row r="54" spans="18:24" x14ac:dyDescent="0.25">
      <c r="R54" s="45"/>
    </row>
    <row r="55" spans="18:24" x14ac:dyDescent="0.25">
      <c r="R55" s="45"/>
    </row>
    <row r="56" spans="18:24" x14ac:dyDescent="0.25">
      <c r="R56" s="45"/>
    </row>
    <row r="57" spans="18:24" x14ac:dyDescent="0.25">
      <c r="R57" s="45"/>
    </row>
    <row r="58" spans="18:24" x14ac:dyDescent="0.25">
      <c r="R58" s="45"/>
    </row>
    <row r="59" spans="18:24" x14ac:dyDescent="0.25">
      <c r="R59" s="45"/>
    </row>
    <row r="60" spans="18:24" x14ac:dyDescent="0.25">
      <c r="R60" s="45"/>
    </row>
    <row r="61" spans="18:24" x14ac:dyDescent="0.25">
      <c r="R61" s="148"/>
    </row>
    <row r="62" spans="18:24" x14ac:dyDescent="0.25">
      <c r="R62" s="148"/>
    </row>
    <row r="63" spans="18:24" x14ac:dyDescent="0.25">
      <c r="R63" s="148"/>
    </row>
    <row r="64" spans="18:24" x14ac:dyDescent="0.25">
      <c r="R64" s="148"/>
    </row>
    <row r="65" spans="18:18" x14ac:dyDescent="0.25">
      <c r="R65" s="148"/>
    </row>
    <row r="66" spans="18:18" x14ac:dyDescent="0.25">
      <c r="R66" s="148"/>
    </row>
    <row r="67" spans="18:18" x14ac:dyDescent="0.25">
      <c r="R67" s="148"/>
    </row>
    <row r="68" spans="18:18" x14ac:dyDescent="0.25">
      <c r="R68" s="45"/>
    </row>
    <row r="69" spans="18:18" x14ac:dyDescent="0.25">
      <c r="R69" s="45"/>
    </row>
    <row r="70" spans="18:18" x14ac:dyDescent="0.25">
      <c r="R70" s="45"/>
    </row>
    <row r="71" spans="18:18" x14ac:dyDescent="0.25">
      <c r="R71" s="45"/>
    </row>
    <row r="73" spans="18:18" ht="17.850000000000001" x14ac:dyDescent="0.35">
      <c r="R73" s="149"/>
    </row>
    <row r="74" spans="18:18" ht="17.850000000000001" x14ac:dyDescent="0.35">
      <c r="R74" s="149"/>
    </row>
    <row r="75" spans="18:18" ht="13.85" x14ac:dyDescent="0.25">
      <c r="R75" s="59"/>
    </row>
    <row r="76" spans="18:18" x14ac:dyDescent="0.25">
      <c r="R76" s="45"/>
    </row>
    <row r="77" spans="18:18" x14ac:dyDescent="0.25">
      <c r="R77" s="150"/>
    </row>
    <row r="78" spans="18:18" x14ac:dyDescent="0.25">
      <c r="R78" s="151"/>
    </row>
    <row r="79" spans="18:18" x14ac:dyDescent="0.25">
      <c r="R79" s="151"/>
    </row>
    <row r="80" spans="18:18" x14ac:dyDescent="0.25">
      <c r="R80" s="45"/>
    </row>
    <row r="81" spans="18:18" x14ac:dyDescent="0.25">
      <c r="R81" s="45"/>
    </row>
    <row r="82" spans="18:18" x14ac:dyDescent="0.25">
      <c r="R82" s="45"/>
    </row>
    <row r="83" spans="18:18" x14ac:dyDescent="0.25">
      <c r="R83" s="45"/>
    </row>
    <row r="84" spans="18:18" x14ac:dyDescent="0.25">
      <c r="R84" s="45"/>
    </row>
    <row r="85" spans="18:18" x14ac:dyDescent="0.25">
      <c r="R85" s="45"/>
    </row>
    <row r="86" spans="18:18" x14ac:dyDescent="0.25">
      <c r="R86" s="45"/>
    </row>
    <row r="87" spans="18:18" x14ac:dyDescent="0.25">
      <c r="R87" s="45"/>
    </row>
    <row r="88" spans="18:18" x14ac:dyDescent="0.25">
      <c r="R88" s="45"/>
    </row>
    <row r="89" spans="18:18" x14ac:dyDescent="0.25">
      <c r="R89" s="45"/>
    </row>
    <row r="90" spans="18:18" x14ac:dyDescent="0.25">
      <c r="R90" s="45"/>
    </row>
    <row r="91" spans="18:18" x14ac:dyDescent="0.25">
      <c r="R91" s="45"/>
    </row>
    <row r="92" spans="18:18" x14ac:dyDescent="0.25">
      <c r="R92" s="45"/>
    </row>
    <row r="93" spans="18:18" x14ac:dyDescent="0.25">
      <c r="R93" s="45"/>
    </row>
    <row r="94" spans="18:18" x14ac:dyDescent="0.25">
      <c r="R94" s="45"/>
    </row>
    <row r="95" spans="18:18" x14ac:dyDescent="0.25">
      <c r="R95" s="45"/>
    </row>
    <row r="96" spans="18:18" x14ac:dyDescent="0.25">
      <c r="R96" s="45"/>
    </row>
    <row r="97" spans="18:18" x14ac:dyDescent="0.25">
      <c r="R97" s="45"/>
    </row>
    <row r="98" spans="18:18" x14ac:dyDescent="0.25">
      <c r="R98" s="148"/>
    </row>
    <row r="99" spans="18:18" x14ac:dyDescent="0.25">
      <c r="R99" s="148"/>
    </row>
    <row r="100" spans="18:18" x14ac:dyDescent="0.25">
      <c r="R100" s="148"/>
    </row>
    <row r="101" spans="18:18" x14ac:dyDescent="0.25">
      <c r="R101" s="148"/>
    </row>
    <row r="102" spans="18:18" x14ac:dyDescent="0.25">
      <c r="R102" s="148"/>
    </row>
    <row r="103" spans="18:18" x14ac:dyDescent="0.25">
      <c r="R103" s="148"/>
    </row>
    <row r="104" spans="18:18" x14ac:dyDescent="0.25">
      <c r="R104" s="148"/>
    </row>
    <row r="105" spans="18:18" x14ac:dyDescent="0.25">
      <c r="R105" s="45"/>
    </row>
    <row r="106" spans="18:18" x14ac:dyDescent="0.25">
      <c r="R106" s="45"/>
    </row>
    <row r="107" spans="18:18" x14ac:dyDescent="0.25">
      <c r="R107" s="45"/>
    </row>
    <row r="108" spans="18:18" x14ac:dyDescent="0.25">
      <c r="R108" s="45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5336-98A3-43B7-B53F-A66658442E19}">
  <sheetPr codeName="גיליון4"/>
  <dimension ref="A1:BC40"/>
  <sheetViews>
    <sheetView rightToLeft="1" topLeftCell="B13" zoomScale="118" workbookViewId="0">
      <selection activeCell="D9" sqref="D9"/>
    </sheetView>
  </sheetViews>
  <sheetFormatPr defaultRowHeight="13.85" x14ac:dyDescent="0.25"/>
  <cols>
    <col min="1" max="1" width="10.5546875" style="154" customWidth="1"/>
    <col min="2" max="2" width="10.88671875" style="154" customWidth="1"/>
    <col min="3" max="3" width="9.33203125" style="154" customWidth="1"/>
    <col min="4" max="4" width="1.6640625" style="154" customWidth="1"/>
    <col min="5" max="5" width="10.21875" style="155" customWidth="1"/>
    <col min="6" max="8" width="11.5546875" style="154" customWidth="1"/>
    <col min="9" max="9" width="1.5546875" style="154" customWidth="1"/>
    <col min="10" max="10" width="10.77734375" style="154" customWidth="1"/>
    <col min="11" max="11" width="10.109375" style="154" customWidth="1"/>
    <col min="12" max="12" width="2.21875" style="154" customWidth="1"/>
    <col min="13" max="14" width="12.6640625" style="154" customWidth="1"/>
    <col min="15" max="15" width="1.5546875" style="154" customWidth="1"/>
    <col min="16" max="16" width="9.6640625" style="154" customWidth="1"/>
    <col min="17" max="17" width="10.33203125" style="154" customWidth="1"/>
    <col min="18" max="18" width="1.5546875" style="154" customWidth="1"/>
    <col min="19" max="19" width="13.109375" style="154" customWidth="1"/>
    <col min="20" max="20" width="12.88671875" style="154" customWidth="1"/>
    <col min="21" max="21" width="1.21875" style="154" customWidth="1"/>
    <col min="22" max="22" width="11" style="154" customWidth="1"/>
    <col min="23" max="23" width="10.109375" style="154" customWidth="1"/>
    <col min="24" max="24" width="8.33203125" style="154" customWidth="1"/>
    <col min="25" max="25" width="3.109375" style="154" customWidth="1"/>
    <col min="26" max="26" width="10.21875" style="154" customWidth="1"/>
    <col min="27" max="27" width="10" style="154" customWidth="1"/>
    <col min="28" max="28" width="4.109375" style="154" customWidth="1"/>
    <col min="29" max="29" width="8.109375" style="154" customWidth="1"/>
    <col min="30" max="30" width="12.77734375" style="154" customWidth="1"/>
    <col min="31" max="31" width="10.77734375" style="154" customWidth="1"/>
    <col min="32" max="32" width="12.44140625" style="154" customWidth="1"/>
    <col min="33" max="37" width="8.88671875" style="154"/>
    <col min="38" max="40" width="9.109375" style="154" customWidth="1"/>
    <col min="41" max="41" width="8.88671875" style="154"/>
    <col min="42" max="46" width="10.77734375" style="154" customWidth="1"/>
    <col min="47" max="47" width="12" style="154" customWidth="1"/>
    <col min="48" max="48" width="11" style="154" customWidth="1"/>
    <col min="49" max="49" width="9.6640625" style="154" customWidth="1"/>
    <col min="50" max="50" width="10.5546875" style="154" customWidth="1"/>
    <col min="51" max="53" width="8.88671875" style="154"/>
    <col min="54" max="54" width="11.77734375" style="154" bestFit="1" customWidth="1"/>
    <col min="55" max="16384" width="8.88671875" style="154"/>
  </cols>
  <sheetData>
    <row r="1" spans="1:55" ht="18.45" thickBot="1" x14ac:dyDescent="0.4">
      <c r="J1" s="156" t="s">
        <v>38</v>
      </c>
      <c r="K1" s="157"/>
    </row>
    <row r="2" spans="1:55" ht="18.45" thickBot="1" x14ac:dyDescent="0.4">
      <c r="B2" s="158" t="s">
        <v>39</v>
      </c>
      <c r="C2" s="159"/>
      <c r="D2" s="159"/>
      <c r="E2" s="160"/>
      <c r="F2" s="159"/>
      <c r="G2" s="161">
        <v>0.02</v>
      </c>
      <c r="H2" s="162">
        <v>35</v>
      </c>
      <c r="J2" s="163" t="s">
        <v>40</v>
      </c>
      <c r="L2" s="159"/>
      <c r="M2" s="159"/>
      <c r="N2" s="164">
        <v>42825</v>
      </c>
      <c r="P2" s="158" t="s">
        <v>41</v>
      </c>
      <c r="Q2" s="163"/>
      <c r="R2" s="163" t="s">
        <v>42</v>
      </c>
      <c r="S2" s="165" t="s">
        <v>43</v>
      </c>
      <c r="T2" s="164">
        <v>13905</v>
      </c>
      <c r="U2" s="156"/>
      <c r="V2" s="166" t="s">
        <v>44</v>
      </c>
      <c r="W2" s="167"/>
      <c r="X2" s="156"/>
      <c r="Y2" s="156"/>
      <c r="Z2" s="156" t="s">
        <v>45</v>
      </c>
      <c r="AA2" s="156"/>
      <c r="AB2" s="156"/>
    </row>
    <row r="3" spans="1:55" ht="18.45" thickBot="1" x14ac:dyDescent="0.4">
      <c r="B3" s="168" t="s">
        <v>46</v>
      </c>
      <c r="C3" s="169"/>
      <c r="D3" s="156"/>
      <c r="E3" s="170" t="s">
        <v>47</v>
      </c>
      <c r="F3" s="171"/>
      <c r="G3" s="172" t="s">
        <v>48</v>
      </c>
      <c r="H3" s="173"/>
      <c r="J3" s="174" t="s">
        <v>49</v>
      </c>
      <c r="K3" s="175"/>
      <c r="L3" s="156"/>
      <c r="M3" s="176" t="s">
        <v>50</v>
      </c>
      <c r="N3" s="177"/>
      <c r="O3" s="156"/>
      <c r="P3" s="178" t="s">
        <v>49</v>
      </c>
      <c r="Q3" s="179"/>
      <c r="R3" s="180"/>
      <c r="S3" s="181" t="s">
        <v>50</v>
      </c>
      <c r="T3" s="182"/>
      <c r="U3" s="163"/>
      <c r="V3" s="183" t="s">
        <v>51</v>
      </c>
      <c r="W3" s="182" t="s">
        <v>52</v>
      </c>
      <c r="X3" s="163" t="s">
        <v>53</v>
      </c>
      <c r="Y3" s="163"/>
      <c r="Z3" s="163"/>
      <c r="AA3" s="163"/>
      <c r="AB3" s="163"/>
      <c r="AC3" s="158"/>
      <c r="AD3" s="184"/>
      <c r="AE3" s="185" t="s">
        <v>54</v>
      </c>
      <c r="AF3" s="167"/>
      <c r="AL3" s="156"/>
    </row>
    <row r="4" spans="1:55" ht="14.4" thickBot="1" x14ac:dyDescent="0.3">
      <c r="A4" s="154" t="s">
        <v>20</v>
      </c>
      <c r="B4" s="186">
        <v>1</v>
      </c>
      <c r="C4" s="187">
        <v>2</v>
      </c>
      <c r="D4" s="188"/>
      <c r="E4" s="189">
        <v>3</v>
      </c>
      <c r="F4" s="190">
        <v>4</v>
      </c>
      <c r="G4" s="191">
        <v>5</v>
      </c>
      <c r="H4" s="192">
        <v>6</v>
      </c>
      <c r="I4" s="188"/>
      <c r="J4" s="193">
        <v>5</v>
      </c>
      <c r="K4" s="194">
        <v>6</v>
      </c>
      <c r="L4" s="188"/>
      <c r="M4" s="195">
        <v>7</v>
      </c>
      <c r="N4" s="192">
        <v>8</v>
      </c>
      <c r="O4" s="188"/>
      <c r="P4" s="196">
        <v>9</v>
      </c>
      <c r="Q4" s="195">
        <v>10</v>
      </c>
      <c r="R4" s="188"/>
      <c r="S4" s="197">
        <v>11</v>
      </c>
      <c r="T4" s="188">
        <v>12</v>
      </c>
      <c r="U4" s="188"/>
      <c r="V4" s="198">
        <v>13</v>
      </c>
      <c r="W4" s="199">
        <v>14</v>
      </c>
      <c r="X4" s="188">
        <v>15</v>
      </c>
      <c r="Y4" s="188"/>
      <c r="Z4" s="200">
        <v>15</v>
      </c>
      <c r="AA4" s="200">
        <v>16</v>
      </c>
      <c r="AB4" s="188"/>
      <c r="AC4" s="201">
        <v>7</v>
      </c>
      <c r="AD4" s="193">
        <v>8</v>
      </c>
      <c r="AE4" s="193">
        <v>9</v>
      </c>
      <c r="AF4" s="202">
        <v>10</v>
      </c>
      <c r="AM4" s="188"/>
    </row>
    <row r="5" spans="1:55" x14ac:dyDescent="0.25">
      <c r="B5" s="203" t="s">
        <v>23</v>
      </c>
      <c r="C5" s="204" t="s">
        <v>55</v>
      </c>
      <c r="D5" s="205"/>
      <c r="E5" s="206" t="s">
        <v>56</v>
      </c>
      <c r="F5" s="207" t="s">
        <v>57</v>
      </c>
      <c r="G5" s="208" t="s">
        <v>57</v>
      </c>
      <c r="H5" s="209" t="s">
        <v>58</v>
      </c>
      <c r="I5" s="210"/>
      <c r="J5" s="211" t="s">
        <v>59</v>
      </c>
      <c r="K5" s="212" t="s">
        <v>60</v>
      </c>
      <c r="L5" s="213"/>
      <c r="M5" s="214" t="s">
        <v>61</v>
      </c>
      <c r="N5" s="215" t="s">
        <v>55</v>
      </c>
      <c r="O5" s="216"/>
      <c r="P5" s="217" t="s">
        <v>62</v>
      </c>
      <c r="Q5" s="212" t="s">
        <v>60</v>
      </c>
      <c r="R5" s="216"/>
      <c r="S5" s="218" t="s">
        <v>63</v>
      </c>
      <c r="T5" s="215" t="s">
        <v>55</v>
      </c>
      <c r="U5" s="200"/>
      <c r="V5" s="219"/>
      <c r="W5" s="215"/>
      <c r="X5" s="154" t="s">
        <v>64</v>
      </c>
      <c r="Y5" s="220"/>
      <c r="Z5" s="200"/>
      <c r="AA5" s="200"/>
      <c r="AB5" s="200"/>
      <c r="AC5" s="221" t="s">
        <v>65</v>
      </c>
      <c r="AD5" s="222"/>
      <c r="AE5" s="223" t="s">
        <v>66</v>
      </c>
      <c r="AF5" s="224" t="s">
        <v>67</v>
      </c>
      <c r="AP5" s="154" t="s">
        <v>68</v>
      </c>
      <c r="AQ5" s="210" t="s">
        <v>69</v>
      </c>
      <c r="AR5" s="154" t="s">
        <v>23</v>
      </c>
      <c r="AT5" s="225" t="s">
        <v>70</v>
      </c>
      <c r="AU5" s="154" t="s">
        <v>71</v>
      </c>
      <c r="AV5" s="154" t="s">
        <v>15</v>
      </c>
      <c r="AW5" s="154" t="s">
        <v>72</v>
      </c>
      <c r="AX5" s="226" t="s">
        <v>73</v>
      </c>
      <c r="AZ5" s="154" t="s">
        <v>72</v>
      </c>
      <c r="BA5" s="154" t="s">
        <v>10</v>
      </c>
      <c r="BB5" s="154" t="s">
        <v>5</v>
      </c>
      <c r="BC5" s="154" t="s">
        <v>23</v>
      </c>
    </row>
    <row r="6" spans="1:55" ht="14.4" thickBot="1" x14ac:dyDescent="0.3">
      <c r="B6" s="227" t="s">
        <v>74</v>
      </c>
      <c r="C6" s="228" t="s">
        <v>75</v>
      </c>
      <c r="D6" s="220"/>
      <c r="E6" s="229" t="s">
        <v>76</v>
      </c>
      <c r="F6" s="230" t="s">
        <v>77</v>
      </c>
      <c r="G6" s="231" t="s">
        <v>78</v>
      </c>
      <c r="H6" s="232" t="s">
        <v>79</v>
      </c>
      <c r="I6" s="210"/>
      <c r="J6" s="233" t="s">
        <v>80</v>
      </c>
      <c r="K6" s="234" t="s">
        <v>81</v>
      </c>
      <c r="L6" s="220"/>
      <c r="M6" s="235" t="s">
        <v>82</v>
      </c>
      <c r="N6" s="236" t="s">
        <v>81</v>
      </c>
      <c r="O6" s="237"/>
      <c r="P6" s="238" t="s">
        <v>83</v>
      </c>
      <c r="Q6" s="234" t="s">
        <v>81</v>
      </c>
      <c r="R6" s="237"/>
      <c r="S6" s="239" t="s">
        <v>21</v>
      </c>
      <c r="T6" s="236" t="s">
        <v>81</v>
      </c>
      <c r="U6" s="220"/>
      <c r="V6" s="219"/>
      <c r="W6" s="236"/>
      <c r="X6" s="240" t="s">
        <v>4</v>
      </c>
      <c r="Z6" s="220"/>
      <c r="AA6" s="220"/>
      <c r="AB6" s="220"/>
      <c r="AC6" s="241" t="s">
        <v>84</v>
      </c>
      <c r="AD6" s="242"/>
      <c r="AE6" s="155" t="s">
        <v>85</v>
      </c>
      <c r="AF6" s="243" t="s">
        <v>86</v>
      </c>
      <c r="AL6" s="244"/>
      <c r="AM6" s="225"/>
      <c r="AP6" s="245">
        <v>10000</v>
      </c>
      <c r="AQ6" s="245" t="s">
        <v>87</v>
      </c>
      <c r="AR6" s="188" t="s">
        <v>2</v>
      </c>
      <c r="AT6" s="246" t="s">
        <v>88</v>
      </c>
      <c r="AU6" s="246" t="s">
        <v>82</v>
      </c>
      <c r="BC6" s="225">
        <v>0.02</v>
      </c>
    </row>
    <row r="7" spans="1:55" ht="14.4" customHeight="1" thickBot="1" x14ac:dyDescent="0.4">
      <c r="B7" s="247">
        <v>20.329999999999998</v>
      </c>
      <c r="C7" s="248">
        <v>0.02</v>
      </c>
      <c r="D7" s="220"/>
      <c r="E7" s="164">
        <v>42825</v>
      </c>
      <c r="F7" s="249" t="s">
        <v>87</v>
      </c>
      <c r="G7" s="250" t="s">
        <v>87</v>
      </c>
      <c r="H7" s="251" t="s">
        <v>89</v>
      </c>
      <c r="I7" s="245"/>
      <c r="J7" s="252">
        <v>0.02</v>
      </c>
      <c r="K7" s="253" t="s">
        <v>90</v>
      </c>
      <c r="L7" s="254"/>
      <c r="M7" s="255" t="s">
        <v>91</v>
      </c>
      <c r="N7" s="256" t="s">
        <v>90</v>
      </c>
      <c r="O7" s="188"/>
      <c r="P7" s="257">
        <v>0.02</v>
      </c>
      <c r="Q7" s="253" t="s">
        <v>90</v>
      </c>
      <c r="R7" s="258"/>
      <c r="S7" s="259" t="s">
        <v>91</v>
      </c>
      <c r="T7" s="256" t="s">
        <v>90</v>
      </c>
      <c r="U7" s="254"/>
      <c r="V7" s="260" t="s">
        <v>92</v>
      </c>
      <c r="W7" s="236" t="s">
        <v>92</v>
      </c>
      <c r="X7" s="261" t="s">
        <v>93</v>
      </c>
      <c r="Y7" s="155"/>
      <c r="Z7" s="254"/>
      <c r="AA7" s="254"/>
      <c r="AB7" s="254"/>
      <c r="AC7" s="201" t="s">
        <v>94</v>
      </c>
      <c r="AD7" s="191" t="s">
        <v>91</v>
      </c>
      <c r="AE7" s="246" t="s">
        <v>95</v>
      </c>
      <c r="AF7" s="262" t="s">
        <v>96</v>
      </c>
      <c r="AL7" s="244"/>
      <c r="AM7" s="244"/>
      <c r="AP7" s="245"/>
      <c r="AQ7" s="245"/>
      <c r="AR7" s="188"/>
      <c r="AT7" s="246"/>
      <c r="AU7" s="246"/>
      <c r="BC7" s="225"/>
    </row>
    <row r="8" spans="1:55" x14ac:dyDescent="0.25">
      <c r="B8" s="247" t="s">
        <v>97</v>
      </c>
      <c r="C8" s="263">
        <v>0.7</v>
      </c>
      <c r="D8" s="264"/>
      <c r="E8" s="265"/>
      <c r="F8" s="266" t="s">
        <v>98</v>
      </c>
      <c r="G8" s="267" t="s">
        <v>99</v>
      </c>
      <c r="H8" s="268" t="s">
        <v>100</v>
      </c>
      <c r="I8" s="269"/>
      <c r="J8" s="270" t="s">
        <v>101</v>
      </c>
      <c r="K8" s="266" t="s">
        <v>102</v>
      </c>
      <c r="L8" s="271"/>
      <c r="M8" s="272" t="s">
        <v>103</v>
      </c>
      <c r="N8" s="273" t="s">
        <v>104</v>
      </c>
      <c r="O8" s="273"/>
      <c r="P8" s="273" t="s">
        <v>105</v>
      </c>
      <c r="Q8" s="273" t="s">
        <v>106</v>
      </c>
      <c r="R8" s="271"/>
      <c r="S8" s="266" t="s">
        <v>103</v>
      </c>
      <c r="T8" s="271"/>
      <c r="U8" s="271"/>
      <c r="V8" s="242"/>
      <c r="W8" s="273"/>
      <c r="Y8" s="271"/>
      <c r="Z8" s="271"/>
      <c r="AA8" s="271"/>
      <c r="AB8" s="271"/>
      <c r="AC8" s="274" t="s">
        <v>107</v>
      </c>
      <c r="AD8" s="275" t="s">
        <v>108</v>
      </c>
      <c r="AE8" s="271" t="s">
        <v>109</v>
      </c>
      <c r="AF8" s="275" t="s">
        <v>110</v>
      </c>
      <c r="AL8" s="276"/>
      <c r="AM8" s="244"/>
      <c r="AP8" s="277">
        <v>20.329999999999998</v>
      </c>
      <c r="AQ8" s="245"/>
      <c r="AR8" s="188"/>
      <c r="AT8" s="246"/>
      <c r="AU8" s="246"/>
      <c r="BC8" s="225"/>
    </row>
    <row r="9" spans="1:55" x14ac:dyDescent="0.25">
      <c r="B9" s="203">
        <v>20.329999999999998</v>
      </c>
      <c r="C9" s="278">
        <f>IF(B9&lt;$H$2,B9*$C$7,(B9-(B9-$H$2))*$C$7)</f>
        <v>0.40659999999999996</v>
      </c>
      <c r="D9" s="264"/>
      <c r="E9" s="279">
        <f>IF(B9&gt;$B$7,B9-$B$7,0)</f>
        <v>0</v>
      </c>
      <c r="F9" s="280">
        <f>E9/B9</f>
        <v>0</v>
      </c>
      <c r="G9" s="281">
        <f>IF(E9&gt;0,$B$7/B9,100%)</f>
        <v>1</v>
      </c>
      <c r="H9" s="282">
        <f>G9+F9</f>
        <v>1</v>
      </c>
      <c r="I9" s="269"/>
      <c r="J9" s="283">
        <f>E9*$J$7</f>
        <v>0</v>
      </c>
      <c r="K9" s="284">
        <f>IF(J9=0,0,J9/E9)</f>
        <v>0</v>
      </c>
      <c r="L9" s="285"/>
      <c r="M9" s="286">
        <f t="shared" ref="M9:M17" si="0">F9*C9</f>
        <v>0</v>
      </c>
      <c r="N9" s="287">
        <f>IF(AND(B9&lt;$B$16,M9&gt;0),M9/E9,M9/($B$7*G9))</f>
        <v>0</v>
      </c>
      <c r="O9" s="288"/>
      <c r="P9" s="289">
        <f>IF(C9&lt;$C$8,$B$7*$C$7,$C$8-F9)</f>
        <v>0.40659999999999996</v>
      </c>
      <c r="Q9" s="290">
        <f t="shared" ref="Q9:Q37" si="1">P9/$B$7</f>
        <v>0.02</v>
      </c>
      <c r="R9" s="291"/>
      <c r="S9" s="292">
        <f t="shared" ref="S9:S37" si="2">C9*G9</f>
        <v>0.40659999999999996</v>
      </c>
      <c r="T9" s="293">
        <f t="shared" ref="T9:T37" si="3">S9/$B$7</f>
        <v>0.02</v>
      </c>
      <c r="U9" s="294"/>
      <c r="V9" s="295">
        <f>($N$2*J9)+($T$2*P9)</f>
        <v>5653.7729999999992</v>
      </c>
      <c r="W9" s="296">
        <f>($N$2*M9)+($T$2*S9)</f>
        <v>5653.7729999999992</v>
      </c>
      <c r="X9" s="297">
        <f>W9-V9</f>
        <v>0</v>
      </c>
      <c r="Y9" s="226"/>
      <c r="Z9" s="298">
        <f t="shared" ref="Z9:Z37" si="4">Q9*B9</f>
        <v>0.40659999999999996</v>
      </c>
      <c r="AA9" s="293">
        <f>B9*T9</f>
        <v>0.40659999999999996</v>
      </c>
      <c r="AB9" s="294"/>
      <c r="AC9" s="299" t="e">
        <f>J9/E9</f>
        <v>#DIV/0!</v>
      </c>
      <c r="AD9" s="299" t="e">
        <f>M9/E9</f>
        <v>#DIV/0!</v>
      </c>
      <c r="AE9" s="300">
        <f>J9-M9</f>
        <v>0</v>
      </c>
      <c r="AF9" s="301" t="e">
        <f t="shared" ref="AF9:AF16" si="5">((AD9/$C$7)-1)*-1</f>
        <v>#DIV/0!</v>
      </c>
      <c r="AL9" s="276"/>
      <c r="AM9" s="244"/>
      <c r="AP9" s="277"/>
      <c r="AQ9" s="245"/>
      <c r="AR9" s="188"/>
      <c r="AT9" s="246"/>
      <c r="AU9" s="246"/>
      <c r="BC9" s="225"/>
    </row>
    <row r="10" spans="1:55" x14ac:dyDescent="0.25">
      <c r="B10" s="203">
        <v>25</v>
      </c>
      <c r="C10" s="278">
        <f>IF(B10&lt;$H$2,B10*$C$7,(B10-(B10-$H$2))*$C$7)</f>
        <v>0.5</v>
      </c>
      <c r="D10" s="264"/>
      <c r="E10" s="279">
        <f>IF(B10&gt;$B$7,B10-$B$7,0)</f>
        <v>4.6700000000000017</v>
      </c>
      <c r="F10" s="280">
        <f>E10/B10</f>
        <v>0.18680000000000008</v>
      </c>
      <c r="G10" s="281">
        <f>IF(E10&gt;0,$B$7/B10,100%)</f>
        <v>0.81319999999999992</v>
      </c>
      <c r="H10" s="282">
        <f>G10+F10</f>
        <v>1</v>
      </c>
      <c r="I10" s="269"/>
      <c r="J10" s="283">
        <f>E10*$J$7</f>
        <v>9.3400000000000039E-2</v>
      </c>
      <c r="K10" s="284">
        <f>IF(J10=0,0,J10/E10)</f>
        <v>0.02</v>
      </c>
      <c r="L10" s="285"/>
      <c r="M10" s="286">
        <f>F10*C10</f>
        <v>9.3400000000000039E-2</v>
      </c>
      <c r="N10" s="287">
        <f>IF(AND(B10&lt;$B$16,M10&gt;0),M10/E10,M10/($B$7*G10))</f>
        <v>0.02</v>
      </c>
      <c r="O10" s="288"/>
      <c r="P10" s="289">
        <f>IF(C10&lt;$C$8,$B$7*$C$7,$C$8-F10)</f>
        <v>0.40659999999999996</v>
      </c>
      <c r="Q10" s="290">
        <f t="shared" si="1"/>
        <v>0.02</v>
      </c>
      <c r="R10" s="291"/>
      <c r="S10" s="292">
        <f>C10*G10</f>
        <v>0.40659999999999996</v>
      </c>
      <c r="T10" s="293">
        <f t="shared" si="3"/>
        <v>0.02</v>
      </c>
      <c r="U10" s="294"/>
      <c r="V10" s="295">
        <f>($N$2*J10)+($T$2*P10)</f>
        <v>9653.6280000000006</v>
      </c>
      <c r="W10" s="296">
        <f t="shared" ref="W10:W37" si="6">($N$2*M10)+($T$2*S10)</f>
        <v>9653.6280000000006</v>
      </c>
      <c r="X10" s="297">
        <f t="shared" ref="X10:X37" si="7">W10-V10</f>
        <v>0</v>
      </c>
      <c r="Y10" s="294"/>
      <c r="Z10" s="298">
        <f t="shared" si="4"/>
        <v>0.5</v>
      </c>
      <c r="AA10" s="293">
        <f>B10*T10</f>
        <v>0.5</v>
      </c>
      <c r="AB10" s="294"/>
      <c r="AC10" s="299"/>
      <c r="AD10" s="299"/>
      <c r="AE10" s="300"/>
      <c r="AF10" s="301"/>
      <c r="AL10" s="276"/>
      <c r="AM10" s="244"/>
      <c r="AP10" s="277"/>
      <c r="AQ10" s="245"/>
      <c r="AR10" s="188"/>
      <c r="AT10" s="246"/>
      <c r="AU10" s="246"/>
      <c r="BC10" s="225"/>
    </row>
    <row r="11" spans="1:55" x14ac:dyDescent="0.25">
      <c r="B11" s="203">
        <v>30.33</v>
      </c>
      <c r="C11" s="278">
        <f t="shared" ref="C11:C17" si="8">IF(B11&lt;$B$16,B11*$C$7,(B11-(B11-$B$16))*$C$7)</f>
        <v>0.60660000000000003</v>
      </c>
      <c r="D11" s="288"/>
      <c r="E11" s="279">
        <f>IF(B11&gt;$B$7,B11-$B$7,0)</f>
        <v>10</v>
      </c>
      <c r="F11" s="280">
        <f>E11/B11</f>
        <v>0.32970656116056712</v>
      </c>
      <c r="G11" s="281">
        <f>IF(E11&gt;0,$B$7/B11,100%)</f>
        <v>0.67029343883943293</v>
      </c>
      <c r="H11" s="282">
        <f t="shared" ref="H11:H37" si="9">G11+F11</f>
        <v>1</v>
      </c>
      <c r="I11" s="285"/>
      <c r="J11" s="302">
        <f>E11*$J$7</f>
        <v>0.2</v>
      </c>
      <c r="K11" s="284">
        <f>J11/E11</f>
        <v>0.02</v>
      </c>
      <c r="L11" s="285"/>
      <c r="M11" s="286">
        <f>F11*C11</f>
        <v>0.20000000000000004</v>
      </c>
      <c r="N11" s="287">
        <f>IF(AND(B11&lt;$B$16,M11&gt;0),M11/E11,M11/($B$7*G11))</f>
        <v>2.0000000000000004E-2</v>
      </c>
      <c r="O11" s="288"/>
      <c r="P11" s="289">
        <f>IF(C11&lt;$C$8,$B$7*$C$7,$C$8-F11)</f>
        <v>0.40659999999999996</v>
      </c>
      <c r="Q11" s="290">
        <f t="shared" si="1"/>
        <v>0.02</v>
      </c>
      <c r="R11" s="291"/>
      <c r="S11" s="292">
        <f>C11*G11</f>
        <v>0.40660000000000002</v>
      </c>
      <c r="T11" s="293">
        <f t="shared" si="3"/>
        <v>2.0000000000000004E-2</v>
      </c>
      <c r="U11" s="294"/>
      <c r="V11" s="295">
        <f>($N$2*J11)+($T$2*P11)</f>
        <v>14218.772999999999</v>
      </c>
      <c r="W11" s="296">
        <f t="shared" si="6"/>
        <v>14218.773000000001</v>
      </c>
      <c r="X11" s="297">
        <f t="shared" si="7"/>
        <v>0</v>
      </c>
      <c r="Y11" s="294"/>
      <c r="Z11" s="298">
        <f t="shared" si="4"/>
        <v>0.60660000000000003</v>
      </c>
      <c r="AA11" s="293">
        <f>B11*T11</f>
        <v>0.60660000000000014</v>
      </c>
      <c r="AB11" s="294"/>
      <c r="AC11" s="299">
        <f>J11/E11</f>
        <v>0.02</v>
      </c>
      <c r="AD11" s="299">
        <f>M11/E11</f>
        <v>2.0000000000000004E-2</v>
      </c>
      <c r="AE11" s="300">
        <f t="shared" ref="AE11:AE16" si="10">J11-M11</f>
        <v>0</v>
      </c>
      <c r="AF11" s="301">
        <f t="shared" si="5"/>
        <v>-2.2204460492503131E-16</v>
      </c>
      <c r="AL11" s="303"/>
      <c r="AM11" s="303"/>
      <c r="AP11" s="154">
        <v>20.329999999999998</v>
      </c>
      <c r="AQ11" s="304">
        <f>AP11/B11</f>
        <v>0.67029343883943293</v>
      </c>
      <c r="AR11" s="155">
        <f>AV11+AT11</f>
        <v>0</v>
      </c>
      <c r="AT11" s="304"/>
      <c r="AU11" s="305">
        <f xml:space="preserve"> $E$7*M11</f>
        <v>8565.0000000000018</v>
      </c>
      <c r="AW11" s="210">
        <f>E7*M11</f>
        <v>8565.0000000000018</v>
      </c>
      <c r="AZ11" s="210">
        <f>AP6*BA11</f>
        <v>4065.9999999999995</v>
      </c>
      <c r="BA11" s="304">
        <f>AP11*$BC$6</f>
        <v>0.40659999999999996</v>
      </c>
      <c r="BC11" s="154">
        <v>30</v>
      </c>
    </row>
    <row r="12" spans="1:55" x14ac:dyDescent="0.25">
      <c r="B12" s="203">
        <f>B11+1</f>
        <v>31.33</v>
      </c>
      <c r="C12" s="278">
        <f t="shared" si="8"/>
        <v>0.62659999999999993</v>
      </c>
      <c r="D12" s="288"/>
      <c r="E12" s="279">
        <f>IF(B12&gt;$B$7,B12-$B$7,0)</f>
        <v>11</v>
      </c>
      <c r="F12" s="280">
        <f>E12/B12</f>
        <v>0.35110118097669968</v>
      </c>
      <c r="G12" s="281">
        <f>IF(E12&gt;0,$B$7/B12,100%)</f>
        <v>0.64889881902330038</v>
      </c>
      <c r="H12" s="282">
        <f t="shared" si="9"/>
        <v>1</v>
      </c>
      <c r="I12" s="285"/>
      <c r="J12" s="302">
        <f>E12*$J$7</f>
        <v>0.22</v>
      </c>
      <c r="K12" s="284">
        <f>J12/E12</f>
        <v>0.02</v>
      </c>
      <c r="L12" s="285"/>
      <c r="M12" s="286">
        <f>F12*C12</f>
        <v>0.22</v>
      </c>
      <c r="N12" s="287">
        <f>IF(AND(B12&lt;$B$16,M12&gt;0),M12/E12,M12/($B$7*G12))</f>
        <v>0.02</v>
      </c>
      <c r="O12" s="288"/>
      <c r="P12" s="289">
        <f>IF(C12&lt;$C$8,$B$7*$C$7,$C$8-F12)</f>
        <v>0.40659999999999996</v>
      </c>
      <c r="Q12" s="290">
        <f t="shared" si="1"/>
        <v>0.02</v>
      </c>
      <c r="R12" s="291"/>
      <c r="S12" s="292">
        <f>C12*G12</f>
        <v>0.40659999999999996</v>
      </c>
      <c r="T12" s="293">
        <f t="shared" si="3"/>
        <v>0.02</v>
      </c>
      <c r="U12" s="294"/>
      <c r="V12" s="295">
        <f>($N$2*J12)+($T$2*P12)</f>
        <v>15075.272999999999</v>
      </c>
      <c r="W12" s="296">
        <f t="shared" si="6"/>
        <v>15075.272999999999</v>
      </c>
      <c r="X12" s="297">
        <f t="shared" si="7"/>
        <v>0</v>
      </c>
      <c r="Y12" s="294"/>
      <c r="Z12" s="298">
        <f t="shared" si="4"/>
        <v>0.62659999999999993</v>
      </c>
      <c r="AA12" s="293">
        <f>B12*T12</f>
        <v>0.62659999999999993</v>
      </c>
      <c r="AB12" s="294"/>
      <c r="AC12" s="299">
        <f>J12/E12</f>
        <v>0.02</v>
      </c>
      <c r="AD12" s="299">
        <f>M12/E12</f>
        <v>0.02</v>
      </c>
      <c r="AE12" s="300">
        <f t="shared" si="10"/>
        <v>0</v>
      </c>
      <c r="AF12" s="301">
        <f t="shared" si="5"/>
        <v>0</v>
      </c>
      <c r="AL12" s="303"/>
      <c r="AM12" s="303"/>
      <c r="AP12" s="154">
        <f>+$AP$11</f>
        <v>20.329999999999998</v>
      </c>
      <c r="AQ12" s="304">
        <f>AP12/B12</f>
        <v>0.64889881902330038</v>
      </c>
      <c r="AR12" s="155">
        <f>AV12+AT12</f>
        <v>1.9999999999999962E-2</v>
      </c>
      <c r="AT12" s="304">
        <f>M12-M11</f>
        <v>1.9999999999999962E-2</v>
      </c>
      <c r="AU12" s="305">
        <f xml:space="preserve"> $E$7*M12</f>
        <v>9421.5</v>
      </c>
      <c r="AX12" s="304">
        <f>E12*$BC$6</f>
        <v>0.22</v>
      </c>
      <c r="AZ12" s="210">
        <f t="shared" ref="AZ12:AZ14" si="11">BA11*BA12</f>
        <v>0.16532355999999998</v>
      </c>
      <c r="BA12" s="304">
        <f>AP12*$BC$6</f>
        <v>0.40659999999999996</v>
      </c>
      <c r="BC12" s="154">
        <v>31</v>
      </c>
    </row>
    <row r="13" spans="1:55" x14ac:dyDescent="0.25">
      <c r="B13" s="203">
        <f t="shared" ref="B13:B15" si="12">B12+1</f>
        <v>32.33</v>
      </c>
      <c r="C13" s="278">
        <f t="shared" si="8"/>
        <v>0.64659999999999995</v>
      </c>
      <c r="D13" s="288"/>
      <c r="E13" s="279">
        <f>IF(B13&gt;$B$7,B13-$B$7,0)</f>
        <v>12</v>
      </c>
      <c r="F13" s="280">
        <f>E13/B13</f>
        <v>0.3711722858026601</v>
      </c>
      <c r="G13" s="281">
        <f>IF(E13&gt;0,$B$7/B13,100%)</f>
        <v>0.62882771419733996</v>
      </c>
      <c r="H13" s="282">
        <f t="shared" si="9"/>
        <v>1</v>
      </c>
      <c r="I13" s="285"/>
      <c r="J13" s="283">
        <f>E13*$J$7</f>
        <v>0.24</v>
      </c>
      <c r="K13" s="284">
        <f>J13/E13</f>
        <v>0.02</v>
      </c>
      <c r="L13" s="285"/>
      <c r="M13" s="286">
        <f t="shared" si="0"/>
        <v>0.24</v>
      </c>
      <c r="N13" s="287">
        <f>IF(AND(B13&lt;$B$16,M13&gt;0),M13/E13,M13/($B$7*G13))</f>
        <v>0.02</v>
      </c>
      <c r="O13" s="288"/>
      <c r="P13" s="289">
        <f t="shared" ref="P13:P15" si="13">IF(C13&lt;$C$8,$B$7*$C$7,$C$8-F13)</f>
        <v>0.40659999999999996</v>
      </c>
      <c r="Q13" s="306">
        <f t="shared" si="1"/>
        <v>0.02</v>
      </c>
      <c r="R13" s="291"/>
      <c r="S13" s="292">
        <f t="shared" si="2"/>
        <v>0.40659999999999996</v>
      </c>
      <c r="T13" s="293">
        <f t="shared" si="3"/>
        <v>0.02</v>
      </c>
      <c r="U13" s="294"/>
      <c r="V13" s="295">
        <f t="shared" ref="V13:V37" si="14">($N$2*J13)+($T$2*P13)</f>
        <v>15931.772999999999</v>
      </c>
      <c r="W13" s="296">
        <f t="shared" si="6"/>
        <v>15931.772999999999</v>
      </c>
      <c r="X13" s="297">
        <f t="shared" si="7"/>
        <v>0</v>
      </c>
      <c r="Y13" s="294"/>
      <c r="Z13" s="298">
        <f t="shared" si="4"/>
        <v>0.64659999999999995</v>
      </c>
      <c r="AA13" s="293">
        <f>B13*T13</f>
        <v>0.64659999999999995</v>
      </c>
      <c r="AB13" s="294"/>
      <c r="AC13" s="299">
        <f>J13/E13</f>
        <v>0.02</v>
      </c>
      <c r="AD13" s="299">
        <f>M13/E13</f>
        <v>0.02</v>
      </c>
      <c r="AE13" s="300">
        <f t="shared" si="10"/>
        <v>0</v>
      </c>
      <c r="AF13" s="301">
        <f t="shared" si="5"/>
        <v>0</v>
      </c>
      <c r="AL13" s="303"/>
      <c r="AM13" s="303"/>
      <c r="AP13" s="154">
        <f>+$AP$11</f>
        <v>20.329999999999998</v>
      </c>
      <c r="AQ13" s="304">
        <f>AP13/B13</f>
        <v>0.62882771419733996</v>
      </c>
      <c r="AR13" s="155">
        <f>AV13+AT13</f>
        <v>1.999999999999999E-2</v>
      </c>
      <c r="AT13" s="304">
        <f>M13-M12</f>
        <v>1.999999999999999E-2</v>
      </c>
      <c r="AU13" s="305">
        <f xml:space="preserve"> $E$7*M13</f>
        <v>10278</v>
      </c>
      <c r="AX13" s="304">
        <f>E13*$BC$6</f>
        <v>0.24</v>
      </c>
      <c r="AZ13" s="210">
        <f t="shared" si="11"/>
        <v>0.16532355999999998</v>
      </c>
      <c r="BA13" s="304">
        <f>AP13*$BC$6</f>
        <v>0.40659999999999996</v>
      </c>
      <c r="BC13" s="154">
        <v>35</v>
      </c>
    </row>
    <row r="14" spans="1:55" x14ac:dyDescent="0.25">
      <c r="B14" s="203">
        <f t="shared" si="12"/>
        <v>33.33</v>
      </c>
      <c r="C14" s="278">
        <f t="shared" si="8"/>
        <v>0.66659999999999997</v>
      </c>
      <c r="D14" s="288"/>
      <c r="E14" s="279">
        <f>IF(B14&gt;$B$7,B14-$B$7,0)</f>
        <v>13</v>
      </c>
      <c r="F14" s="280">
        <f>E14/B14</f>
        <v>0.39003900390039004</v>
      </c>
      <c r="G14" s="281">
        <f>IF(E14&gt;0,$B$7/B14,100%)</f>
        <v>0.60996099609960996</v>
      </c>
      <c r="H14" s="282">
        <f t="shared" si="9"/>
        <v>1</v>
      </c>
      <c r="I14" s="285"/>
      <c r="J14" s="283">
        <f>E14*$J$7</f>
        <v>0.26</v>
      </c>
      <c r="K14" s="284">
        <f>J14/E14</f>
        <v>0.02</v>
      </c>
      <c r="L14" s="285"/>
      <c r="M14" s="286">
        <f t="shared" si="0"/>
        <v>0.26</v>
      </c>
      <c r="N14" s="287">
        <f>IF(AND(B14&lt;$B$16,M14&gt;0),M14/E14,M14/($B$7*G14))</f>
        <v>0.02</v>
      </c>
      <c r="O14" s="288"/>
      <c r="P14" s="289">
        <f t="shared" si="13"/>
        <v>0.40659999999999996</v>
      </c>
      <c r="Q14" s="290">
        <f t="shared" si="1"/>
        <v>0.02</v>
      </c>
      <c r="R14" s="291"/>
      <c r="S14" s="292">
        <f t="shared" si="2"/>
        <v>0.40659999999999996</v>
      </c>
      <c r="T14" s="293">
        <f t="shared" si="3"/>
        <v>0.02</v>
      </c>
      <c r="U14" s="294"/>
      <c r="V14" s="295">
        <f t="shared" si="14"/>
        <v>16788.273000000001</v>
      </c>
      <c r="W14" s="296">
        <f t="shared" si="6"/>
        <v>16788.273000000001</v>
      </c>
      <c r="X14" s="297">
        <f t="shared" si="7"/>
        <v>0</v>
      </c>
      <c r="Y14" s="294"/>
      <c r="Z14" s="298">
        <f t="shared" si="4"/>
        <v>0.66659999999999997</v>
      </c>
      <c r="AA14" s="293">
        <f t="shared" ref="AA14:AA37" si="15">S14+M14</f>
        <v>0.66659999999999997</v>
      </c>
      <c r="AB14" s="294"/>
      <c r="AC14" s="299">
        <f>J14/E14</f>
        <v>0.02</v>
      </c>
      <c r="AD14" s="299">
        <f>M14/E14</f>
        <v>0.02</v>
      </c>
      <c r="AE14" s="300">
        <f t="shared" si="10"/>
        <v>0</v>
      </c>
      <c r="AF14" s="301">
        <f t="shared" si="5"/>
        <v>0</v>
      </c>
      <c r="AL14" s="307"/>
      <c r="AM14" s="307"/>
      <c r="AP14" s="154">
        <f>+$AP$11</f>
        <v>20.329999999999998</v>
      </c>
      <c r="AQ14" s="304">
        <f>AP14/B14</f>
        <v>0.60996099609960996</v>
      </c>
      <c r="AR14" s="155">
        <f>AV14+AT14</f>
        <v>2.0000000000000018E-2</v>
      </c>
      <c r="AT14" s="304">
        <f>M14-M13</f>
        <v>2.0000000000000018E-2</v>
      </c>
      <c r="AU14" s="305">
        <f xml:space="preserve"> $E$7*M14</f>
        <v>11134.5</v>
      </c>
      <c r="AX14" s="304">
        <f>E14*$BC$6</f>
        <v>0.26</v>
      </c>
      <c r="AZ14" s="210">
        <f t="shared" si="11"/>
        <v>0.16532355999999998</v>
      </c>
      <c r="BA14" s="304">
        <f>AP14*$BC$6</f>
        <v>0.40659999999999996</v>
      </c>
      <c r="BC14" s="154">
        <v>36</v>
      </c>
    </row>
    <row r="15" spans="1:55" ht="14.4" thickBot="1" x14ac:dyDescent="0.3">
      <c r="B15" s="308">
        <f t="shared" si="12"/>
        <v>34.33</v>
      </c>
      <c r="C15" s="309">
        <f t="shared" si="8"/>
        <v>0.68659999999999999</v>
      </c>
      <c r="D15" s="288"/>
      <c r="E15" s="279">
        <f>IF(B15&gt;$B$7,B15-$B$7,0)</f>
        <v>14</v>
      </c>
      <c r="F15" s="280">
        <f>E15/B15</f>
        <v>0.40780658316341395</v>
      </c>
      <c r="G15" s="281">
        <f>IF(E15&gt;0,$B$7/B15,100%)</f>
        <v>0.59219341683658611</v>
      </c>
      <c r="H15" s="282">
        <f t="shared" si="9"/>
        <v>1</v>
      </c>
      <c r="I15" s="285"/>
      <c r="J15" s="283">
        <f>E15*$J$7</f>
        <v>0.28000000000000003</v>
      </c>
      <c r="K15" s="284">
        <f>J15/E15</f>
        <v>0.02</v>
      </c>
      <c r="L15" s="285"/>
      <c r="M15" s="286">
        <f t="shared" si="0"/>
        <v>0.28000000000000003</v>
      </c>
      <c r="N15" s="287">
        <f>IF(AND(B15&lt;$B$16,M15&gt;0),M15/E15,M15/($B$7*G15))</f>
        <v>0.02</v>
      </c>
      <c r="O15" s="288"/>
      <c r="P15" s="289">
        <f t="shared" si="13"/>
        <v>0.40659999999999996</v>
      </c>
      <c r="Q15" s="290">
        <f t="shared" si="1"/>
        <v>0.02</v>
      </c>
      <c r="R15" s="291"/>
      <c r="S15" s="292">
        <f t="shared" si="2"/>
        <v>0.40660000000000002</v>
      </c>
      <c r="T15" s="293">
        <f t="shared" si="3"/>
        <v>2.0000000000000004E-2</v>
      </c>
      <c r="U15" s="294"/>
      <c r="V15" s="295">
        <f t="shared" si="14"/>
        <v>17644.773000000001</v>
      </c>
      <c r="W15" s="296">
        <f t="shared" si="6"/>
        <v>17644.773000000001</v>
      </c>
      <c r="X15" s="297">
        <f t="shared" si="7"/>
        <v>0</v>
      </c>
      <c r="Y15" s="294"/>
      <c r="Z15" s="298">
        <f t="shared" si="4"/>
        <v>0.68659999999999999</v>
      </c>
      <c r="AA15" s="293">
        <f t="shared" si="15"/>
        <v>0.6866000000000001</v>
      </c>
      <c r="AB15" s="294"/>
      <c r="AC15" s="299">
        <f>J15/E15</f>
        <v>0.02</v>
      </c>
      <c r="AD15" s="299">
        <f>M15/E15</f>
        <v>0.02</v>
      </c>
      <c r="AE15" s="300">
        <f t="shared" si="10"/>
        <v>0</v>
      </c>
      <c r="AF15" s="301">
        <f t="shared" si="5"/>
        <v>0</v>
      </c>
      <c r="AL15" s="303"/>
      <c r="AM15" s="303"/>
      <c r="AN15" s="310"/>
      <c r="AP15" s="154">
        <f>+$AP$11</f>
        <v>20.329999999999998</v>
      </c>
      <c r="AQ15" s="304">
        <f>AP15/B15</f>
        <v>0.59219341683658611</v>
      </c>
      <c r="AR15" s="155">
        <f>AV15+AT15</f>
        <v>2.0000000000000018E-2</v>
      </c>
      <c r="AT15" s="304">
        <f>M15-M14</f>
        <v>2.0000000000000018E-2</v>
      </c>
      <c r="AU15" s="305">
        <f xml:space="preserve"> $E$7*M15</f>
        <v>11991.000000000002</v>
      </c>
      <c r="AX15" s="304">
        <f>E15*$BC$6</f>
        <v>0.28000000000000003</v>
      </c>
      <c r="BA15" s="304">
        <f>AP15*$BC$6</f>
        <v>0.40659999999999996</v>
      </c>
      <c r="BC15" s="154">
        <v>38</v>
      </c>
    </row>
    <row r="16" spans="1:55" ht="14.4" thickBot="1" x14ac:dyDescent="0.3">
      <c r="B16" s="311">
        <f>B15+1</f>
        <v>35.33</v>
      </c>
      <c r="C16" s="312">
        <f t="shared" si="8"/>
        <v>0.70660000000000001</v>
      </c>
      <c r="D16" s="313"/>
      <c r="E16" s="314">
        <f>IF(B16&gt;$B$7,B16-$B$7,0)</f>
        <v>15</v>
      </c>
      <c r="F16" s="315">
        <f>E16/B16</f>
        <v>0.42456835550523636</v>
      </c>
      <c r="G16" s="316">
        <f>IF(E16&gt;0,$B$7/B16,100%)</f>
        <v>0.57543164449476358</v>
      </c>
      <c r="H16" s="316">
        <f t="shared" si="9"/>
        <v>1</v>
      </c>
      <c r="I16" s="317"/>
      <c r="J16" s="318">
        <f>E16*$J$7</f>
        <v>0.3</v>
      </c>
      <c r="K16" s="319">
        <f>J16/E16</f>
        <v>0.02</v>
      </c>
      <c r="L16" s="285"/>
      <c r="M16" s="320">
        <f t="shared" si="0"/>
        <v>0.3</v>
      </c>
      <c r="N16" s="320">
        <f>IF(B16&lt;$B$16,M16/E16,M16/E16)</f>
        <v>0.02</v>
      </c>
      <c r="O16" s="291">
        <f>IF(C16&lt;$B$16,N16/F16,N16/($B$7*H16))</f>
        <v>4.7106666666666665E-2</v>
      </c>
      <c r="P16" s="321">
        <f>IF(C16&lt;$C$8,$B$7*$C$7, C16-J16)</f>
        <v>0.40660000000000002</v>
      </c>
      <c r="Q16" s="322">
        <f>(C11-P11)/E11</f>
        <v>2.0000000000000007E-2</v>
      </c>
      <c r="R16" s="323"/>
      <c r="S16" s="320">
        <f t="shared" si="2"/>
        <v>0.40659999999999996</v>
      </c>
      <c r="T16" s="320">
        <f t="shared" si="3"/>
        <v>0.02</v>
      </c>
      <c r="U16" s="324"/>
      <c r="V16" s="295">
        <f t="shared" si="14"/>
        <v>18501.273000000001</v>
      </c>
      <c r="W16" s="296">
        <f t="shared" si="6"/>
        <v>18501.273000000001</v>
      </c>
      <c r="X16" s="297">
        <f t="shared" si="7"/>
        <v>0</v>
      </c>
      <c r="Y16" s="294"/>
      <c r="Z16" s="298">
        <f t="shared" si="4"/>
        <v>0.70660000000000023</v>
      </c>
      <c r="AA16" s="293">
        <f t="shared" si="15"/>
        <v>0.70659999999999989</v>
      </c>
      <c r="AB16" s="324"/>
      <c r="AC16" s="325">
        <f>J16/E16</f>
        <v>0.02</v>
      </c>
      <c r="AD16" s="325">
        <f>M16/E16</f>
        <v>0.02</v>
      </c>
      <c r="AE16" s="326">
        <f t="shared" si="10"/>
        <v>0</v>
      </c>
      <c r="AF16" s="327">
        <f t="shared" si="5"/>
        <v>0</v>
      </c>
      <c r="AL16" s="328"/>
      <c r="AM16" s="303"/>
      <c r="AN16" s="310"/>
      <c r="AP16" s="154">
        <f>+$AP$11</f>
        <v>20.329999999999998</v>
      </c>
      <c r="AQ16" s="304"/>
      <c r="AR16" s="155"/>
      <c r="AT16" s="304"/>
      <c r="AU16" s="305"/>
      <c r="AX16" s="304"/>
      <c r="BA16" s="304"/>
    </row>
    <row r="17" spans="2:55" ht="14.4" thickBot="1" x14ac:dyDescent="0.3">
      <c r="B17" s="311">
        <f>B16+0.33</f>
        <v>35.659999999999997</v>
      </c>
      <c r="C17" s="312">
        <f t="shared" si="8"/>
        <v>0.70660000000000001</v>
      </c>
      <c r="D17" s="313"/>
      <c r="E17" s="314">
        <f>IF(B17&gt;$B$7,B17-$B$7,0)</f>
        <v>15.329999999999998</v>
      </c>
      <c r="F17" s="315">
        <f>E17/B17</f>
        <v>0.42989343802579921</v>
      </c>
      <c r="G17" s="316">
        <f>IF(E17&gt;0,$B$7/B17,100%)</f>
        <v>0.57010656197420084</v>
      </c>
      <c r="H17" s="316">
        <f t="shared" si="9"/>
        <v>1</v>
      </c>
      <c r="I17" s="317"/>
      <c r="J17" s="318">
        <f>E17*$J$7</f>
        <v>0.30659999999999998</v>
      </c>
      <c r="K17" s="319">
        <f>J17/E17</f>
        <v>0.02</v>
      </c>
      <c r="L17" s="285"/>
      <c r="M17" s="320">
        <f t="shared" si="0"/>
        <v>0.30376270330902971</v>
      </c>
      <c r="N17" s="329">
        <f>IF(B17&lt;$B$16,M17/E17,M17/E17)</f>
        <v>1.9814918676388113E-2</v>
      </c>
      <c r="O17" s="291">
        <f>IF(C17&lt;$B$16,N17/F17,N17/($B$7*H17))</f>
        <v>4.6092628832354869E-2</v>
      </c>
      <c r="P17" s="321">
        <f>IF(C17&lt;$C$8,$B$7*$C$7, C17-J17)</f>
        <v>0.4</v>
      </c>
      <c r="Q17" s="322">
        <f>(C12-P12)/E12</f>
        <v>1.9999999999999997E-2</v>
      </c>
      <c r="R17" s="323"/>
      <c r="S17" s="320">
        <f t="shared" si="2"/>
        <v>0.40283729669097029</v>
      </c>
      <c r="T17" s="330">
        <f t="shared" si="3"/>
        <v>1.9814918676388113E-2</v>
      </c>
      <c r="U17" s="324"/>
      <c r="V17" s="295">
        <f t="shared" si="14"/>
        <v>18692.144999999997</v>
      </c>
      <c r="W17" s="296">
        <f t="shared" si="6"/>
        <v>18610.09037969714</v>
      </c>
      <c r="X17" s="331">
        <f t="shared" si="7"/>
        <v>-82.054620302857074</v>
      </c>
      <c r="Y17" s="294"/>
      <c r="Z17" s="298">
        <f t="shared" si="4"/>
        <v>0.71319999999999983</v>
      </c>
      <c r="AA17" s="293">
        <f t="shared" si="15"/>
        <v>0.70660000000000001</v>
      </c>
      <c r="AB17" s="294"/>
      <c r="AC17" s="325"/>
      <c r="AD17" s="325"/>
      <c r="AE17" s="326"/>
      <c r="AF17" s="327"/>
      <c r="AL17" s="328"/>
      <c r="AM17" s="303"/>
      <c r="AN17" s="310"/>
      <c r="AQ17" s="304"/>
      <c r="AR17" s="155"/>
      <c r="AT17" s="304"/>
      <c r="AU17" s="305"/>
      <c r="AX17" s="304"/>
      <c r="BA17" s="304"/>
    </row>
    <row r="18" spans="2:55" x14ac:dyDescent="0.25">
      <c r="B18" s="265">
        <f>B16+1</f>
        <v>36.33</v>
      </c>
      <c r="C18" s="332">
        <f>IF(B18&lt;$B$16,B18*#REF!,(B18-(B18-$B$16))*$C$7)</f>
        <v>0.70660000000000001</v>
      </c>
      <c r="D18" s="333"/>
      <c r="E18" s="279">
        <f>IF(B18&gt;$B$7,B18-$B$7,0)</f>
        <v>16</v>
      </c>
      <c r="F18" s="280">
        <f>E18/B18</f>
        <v>0.44040737682356179</v>
      </c>
      <c r="G18" s="281">
        <f>IF(E18&gt;0,$B$7/B18,100%)</f>
        <v>0.55959262317643821</v>
      </c>
      <c r="H18" s="282">
        <f t="shared" si="9"/>
        <v>1</v>
      </c>
      <c r="I18" s="334"/>
      <c r="J18" s="283">
        <f>E18*$J$7</f>
        <v>0.32</v>
      </c>
      <c r="K18" s="284">
        <f>J18/E18</f>
        <v>0.02</v>
      </c>
      <c r="L18" s="285"/>
      <c r="M18" s="335">
        <f>E18/B18*C18</f>
        <v>0.31119185246352876</v>
      </c>
      <c r="N18" s="329">
        <f>IF(B18&lt;$B$16,M18/E18,M18/E18)</f>
        <v>1.9449490778970548E-2</v>
      </c>
      <c r="O18" s="336"/>
      <c r="P18" s="289">
        <f t="shared" ref="P18:P37" si="16">IF(C18&lt;$C$8,$B$7*$C$7, C18-J18)</f>
        <v>0.3866</v>
      </c>
      <c r="Q18" s="306">
        <f>(C13-P13)/E13</f>
        <v>0.02</v>
      </c>
      <c r="R18" s="294"/>
      <c r="S18" s="292">
        <f t="shared" si="2"/>
        <v>0.39540814753647124</v>
      </c>
      <c r="T18" s="337">
        <f t="shared" si="3"/>
        <v>1.9449490778970551E-2</v>
      </c>
      <c r="U18" s="338"/>
      <c r="V18" s="295">
        <f t="shared" si="14"/>
        <v>19079.672999999999</v>
      </c>
      <c r="W18" s="296">
        <f t="shared" si="6"/>
        <v>18824.941373245252</v>
      </c>
      <c r="X18" s="331">
        <f t="shared" si="7"/>
        <v>-254.73162675474669</v>
      </c>
      <c r="Y18" s="338"/>
      <c r="Z18" s="298">
        <f t="shared" si="4"/>
        <v>0.72660000000000002</v>
      </c>
      <c r="AA18" s="293">
        <f t="shared" si="15"/>
        <v>0.70660000000000001</v>
      </c>
      <c r="AB18" s="338"/>
      <c r="AC18" s="299">
        <f>J18/E18</f>
        <v>0.02</v>
      </c>
      <c r="AD18" s="339">
        <f>M18/E18</f>
        <v>1.9449490778970548E-2</v>
      </c>
      <c r="AE18" s="340">
        <f t="shared" ref="AE18:AE37" si="17">-J18+M18</f>
        <v>-8.8081475364712447E-3</v>
      </c>
      <c r="AF18" s="341">
        <f t="shared" ref="AF18:AF37" si="18">((AD18/$C$7)-1)</f>
        <v>-2.7525461051472688E-2</v>
      </c>
      <c r="AL18" s="342"/>
      <c r="AM18" s="342"/>
      <c r="AP18" s="154">
        <f t="shared" ref="AP18:AP23" si="19">+$AP$11</f>
        <v>20.329999999999998</v>
      </c>
      <c r="AQ18" s="304">
        <f t="shared" ref="AQ18:AQ23" si="20">AP18/B18</f>
        <v>0.55959262317643821</v>
      </c>
      <c r="AR18" s="155">
        <f t="shared" ref="AR18:AR33" si="21">AV18+AT18</f>
        <v>0</v>
      </c>
      <c r="AT18" s="304"/>
      <c r="AU18" s="305">
        <f t="shared" ref="AU18:AU23" si="22" xml:space="preserve"> $E$7*M18</f>
        <v>13326.79108175062</v>
      </c>
      <c r="AX18" s="304">
        <f>E18*$BC$6</f>
        <v>0.32</v>
      </c>
      <c r="BA18" s="304">
        <f>AP18*$BC$6</f>
        <v>0.40659999999999996</v>
      </c>
      <c r="BC18" s="154">
        <v>42.33</v>
      </c>
    </row>
    <row r="19" spans="2:55" x14ac:dyDescent="0.25">
      <c r="B19" s="203">
        <f t="shared" ref="B19:B23" si="23">B18+1</f>
        <v>37.33</v>
      </c>
      <c r="C19" s="278">
        <f>IF(B19&lt;$B$16,B19*J8,(B19-(B19-$B$16))*$C$7)</f>
        <v>0.70660000000000001</v>
      </c>
      <c r="D19" s="333"/>
      <c r="E19" s="279">
        <f>IF(B19&gt;$B$7,B19-$B$7,0)</f>
        <v>17</v>
      </c>
      <c r="F19" s="280">
        <f>E19/B19</f>
        <v>0.45539780337530139</v>
      </c>
      <c r="G19" s="281">
        <f>IF(E19&gt;0,$B$7/B19,100%)</f>
        <v>0.54460219662469866</v>
      </c>
      <c r="H19" s="282">
        <f t="shared" si="9"/>
        <v>1</v>
      </c>
      <c r="I19" s="334"/>
      <c r="J19" s="283">
        <f>E19*$J$7</f>
        <v>0.34</v>
      </c>
      <c r="K19" s="284">
        <f>J19/E19</f>
        <v>0.02</v>
      </c>
      <c r="L19" s="285"/>
      <c r="M19" s="335">
        <f>E19/B19*C19</f>
        <v>0.32178408786498797</v>
      </c>
      <c r="N19" s="329">
        <f>IF(B19&lt;$B$16,M19/E19,M19/E19)</f>
        <v>1.8928475756763999E-2</v>
      </c>
      <c r="O19" s="288"/>
      <c r="P19" s="289">
        <f t="shared" si="16"/>
        <v>0.36659999999999998</v>
      </c>
      <c r="Q19" s="306">
        <f>(C14-P14)/E14</f>
        <v>0.02</v>
      </c>
      <c r="R19" s="291"/>
      <c r="S19" s="292">
        <f t="shared" si="2"/>
        <v>0.38481591213501209</v>
      </c>
      <c r="T19" s="337">
        <f t="shared" si="3"/>
        <v>1.8928475756763999E-2</v>
      </c>
      <c r="U19" s="338"/>
      <c r="V19" s="295">
        <f t="shared" si="14"/>
        <v>19658.073</v>
      </c>
      <c r="W19" s="296">
        <f t="shared" si="6"/>
        <v>19131.268821055455</v>
      </c>
      <c r="X19" s="331">
        <f t="shared" si="7"/>
        <v>-526.80417894454513</v>
      </c>
      <c r="Y19" s="338"/>
      <c r="Z19" s="298">
        <f t="shared" si="4"/>
        <v>0.74659999999999993</v>
      </c>
      <c r="AA19" s="293">
        <f t="shared" si="15"/>
        <v>0.70660000000000012</v>
      </c>
      <c r="AB19" s="338"/>
      <c r="AC19" s="299">
        <f>J19/E19</f>
        <v>0.02</v>
      </c>
      <c r="AD19" s="339">
        <f>M19/E19</f>
        <v>1.8928475756763999E-2</v>
      </c>
      <c r="AE19" s="340">
        <f t="shared" si="17"/>
        <v>-1.8215912135012058E-2</v>
      </c>
      <c r="AF19" s="341">
        <f t="shared" si="18"/>
        <v>-5.3576212161800085E-2</v>
      </c>
      <c r="AL19" s="342"/>
      <c r="AM19" s="342"/>
      <c r="AP19" s="154">
        <f t="shared" si="19"/>
        <v>20.329999999999998</v>
      </c>
      <c r="AQ19" s="304">
        <f t="shared" si="20"/>
        <v>0.54460219662469866</v>
      </c>
      <c r="AR19" s="155">
        <f t="shared" si="21"/>
        <v>0</v>
      </c>
      <c r="AT19" s="304"/>
      <c r="AU19" s="305">
        <f t="shared" si="22"/>
        <v>13780.40356281811</v>
      </c>
      <c r="AX19" s="304">
        <f>E19*$BC$6</f>
        <v>0.34</v>
      </c>
    </row>
    <row r="20" spans="2:55" x14ac:dyDescent="0.25">
      <c r="B20" s="203">
        <f t="shared" si="23"/>
        <v>38.33</v>
      </c>
      <c r="C20" s="278">
        <f>IF(B20&lt;$B$16,B20*J9,(B20-(B20-$B$16))*$C$7)</f>
        <v>0.70660000000000001</v>
      </c>
      <c r="D20" s="333"/>
      <c r="E20" s="279">
        <f>IF(B20&gt;$B$7,B20-$B$7,0)</f>
        <v>18</v>
      </c>
      <c r="F20" s="280">
        <f>E20/B20</f>
        <v>0.46960605270023481</v>
      </c>
      <c r="G20" s="281">
        <f>IF(E20&gt;0,$B$7/B20,100%)</f>
        <v>0.53039394729976519</v>
      </c>
      <c r="H20" s="282">
        <f t="shared" si="9"/>
        <v>1</v>
      </c>
      <c r="I20" s="285"/>
      <c r="J20" s="283">
        <f>E20*$J$7</f>
        <v>0.36</v>
      </c>
      <c r="K20" s="284">
        <f>J20/E20</f>
        <v>0.02</v>
      </c>
      <c r="L20" s="285"/>
      <c r="M20" s="286">
        <f t="shared" ref="M20:M37" si="24">F20*C20</f>
        <v>0.33182363683798594</v>
      </c>
      <c r="N20" s="329">
        <f>IF(B20&lt;$B$16,M20/E20,M20/E20)</f>
        <v>1.8434646490999219E-2</v>
      </c>
      <c r="O20" s="288"/>
      <c r="P20" s="289">
        <f t="shared" si="16"/>
        <v>0.34660000000000002</v>
      </c>
      <c r="Q20" s="306">
        <f>(C15-P15)/E15</f>
        <v>0.02</v>
      </c>
      <c r="R20" s="291"/>
      <c r="S20" s="292">
        <f t="shared" si="2"/>
        <v>0.37477636316201407</v>
      </c>
      <c r="T20" s="337">
        <f t="shared" si="3"/>
        <v>1.8434646490999219E-2</v>
      </c>
      <c r="U20" s="338"/>
      <c r="V20" s="295">
        <f t="shared" si="14"/>
        <v>20236.472999999998</v>
      </c>
      <c r="W20" s="296">
        <f t="shared" si="6"/>
        <v>19421.612577354554</v>
      </c>
      <c r="X20" s="331">
        <f t="shared" si="7"/>
        <v>-814.86042264544449</v>
      </c>
      <c r="Y20" s="338"/>
      <c r="Z20" s="298">
        <f t="shared" si="4"/>
        <v>0.76659999999999995</v>
      </c>
      <c r="AA20" s="293">
        <f t="shared" si="15"/>
        <v>0.70660000000000001</v>
      </c>
      <c r="AB20" s="338"/>
      <c r="AC20" s="299">
        <f>J20/E20</f>
        <v>0.02</v>
      </c>
      <c r="AD20" s="339">
        <f>M20/E20</f>
        <v>1.8434646490999219E-2</v>
      </c>
      <c r="AE20" s="340">
        <f t="shared" si="17"/>
        <v>-2.8176363162014051E-2</v>
      </c>
      <c r="AF20" s="341">
        <f t="shared" si="18"/>
        <v>-7.8267675450039098E-2</v>
      </c>
      <c r="AL20" s="342"/>
      <c r="AM20" s="342"/>
      <c r="AP20" s="154">
        <f t="shared" si="19"/>
        <v>20.329999999999998</v>
      </c>
      <c r="AQ20" s="304">
        <f t="shared" si="20"/>
        <v>0.53039394729976519</v>
      </c>
      <c r="AR20" s="155">
        <f t="shared" si="21"/>
        <v>0</v>
      </c>
      <c r="AT20" s="304"/>
      <c r="AU20" s="305">
        <f t="shared" si="22"/>
        <v>14210.347247586747</v>
      </c>
      <c r="AX20" s="304">
        <f>E20*$BC$6</f>
        <v>0.36</v>
      </c>
    </row>
    <row r="21" spans="2:55" x14ac:dyDescent="0.25">
      <c r="B21" s="203">
        <f t="shared" si="23"/>
        <v>39.33</v>
      </c>
      <c r="C21" s="278">
        <f t="shared" ref="C21:C26" si="25">IF(B21&lt;$B$16,B21*J11,(B21-(B21-$B$16))*$C$7)</f>
        <v>0.70660000000000001</v>
      </c>
      <c r="D21" s="333"/>
      <c r="E21" s="279">
        <f>IF(B21&gt;$B$7,B21-$B$7,0)</f>
        <v>19</v>
      </c>
      <c r="F21" s="280">
        <f>E21/B21</f>
        <v>0.48309178743961356</v>
      </c>
      <c r="G21" s="281">
        <f>IF(E21&gt;0,$B$7/B21,100%)</f>
        <v>0.51690821256038644</v>
      </c>
      <c r="H21" s="282">
        <f t="shared" si="9"/>
        <v>1</v>
      </c>
      <c r="I21" s="285"/>
      <c r="J21" s="283">
        <f>E21*$J$7</f>
        <v>0.38</v>
      </c>
      <c r="K21" s="284">
        <f>J21/E21</f>
        <v>0.02</v>
      </c>
      <c r="L21" s="285"/>
      <c r="M21" s="286">
        <f t="shared" si="24"/>
        <v>0.34135265700483097</v>
      </c>
      <c r="N21" s="329">
        <f>IF(B21&lt;$B$16,M21/E21,M21/E21)</f>
        <v>1.7965929316043735E-2</v>
      </c>
      <c r="O21" s="288"/>
      <c r="P21" s="289">
        <f t="shared" si="16"/>
        <v>0.3266</v>
      </c>
      <c r="Q21" s="306">
        <f>(C16-P16)/E16</f>
        <v>0.02</v>
      </c>
      <c r="R21" s="291"/>
      <c r="S21" s="292">
        <f t="shared" si="2"/>
        <v>0.36524734299516903</v>
      </c>
      <c r="T21" s="337">
        <f t="shared" si="3"/>
        <v>1.7965929316043731E-2</v>
      </c>
      <c r="U21" s="338"/>
      <c r="V21" s="295">
        <f t="shared" si="14"/>
        <v>20814.873</v>
      </c>
      <c r="W21" s="296">
        <f t="shared" si="6"/>
        <v>19697.191840579711</v>
      </c>
      <c r="X21" s="331">
        <f t="shared" si="7"/>
        <v>-1117.6811594202882</v>
      </c>
      <c r="Y21" s="338"/>
      <c r="Z21" s="298">
        <f t="shared" si="4"/>
        <v>0.78659999999999997</v>
      </c>
      <c r="AA21" s="293">
        <f t="shared" si="15"/>
        <v>0.70660000000000001</v>
      </c>
      <c r="AB21" s="338"/>
      <c r="AC21" s="325">
        <f>J21/E21</f>
        <v>0.02</v>
      </c>
      <c r="AD21" s="339">
        <f>M21/E21</f>
        <v>1.7965929316043735E-2</v>
      </c>
      <c r="AE21" s="340">
        <f t="shared" si="17"/>
        <v>-3.8647342995169032E-2</v>
      </c>
      <c r="AF21" s="341">
        <f t="shared" si="18"/>
        <v>-0.10170353419781331</v>
      </c>
      <c r="AL21" s="342"/>
      <c r="AM21" s="342"/>
      <c r="AP21" s="154">
        <f t="shared" si="19"/>
        <v>20.329999999999998</v>
      </c>
      <c r="AQ21" s="304">
        <f t="shared" si="20"/>
        <v>0.51690821256038644</v>
      </c>
      <c r="AR21" s="155">
        <f t="shared" si="21"/>
        <v>0</v>
      </c>
      <c r="AT21" s="304"/>
      <c r="AU21" s="305">
        <f t="shared" si="22"/>
        <v>14618.427536231886</v>
      </c>
      <c r="AX21" s="304">
        <f>E21*$BC$6</f>
        <v>0.38</v>
      </c>
    </row>
    <row r="22" spans="2:55" x14ac:dyDescent="0.25">
      <c r="B22" s="203">
        <f t="shared" si="23"/>
        <v>40.33</v>
      </c>
      <c r="C22" s="278">
        <f t="shared" si="25"/>
        <v>0.70660000000000001</v>
      </c>
      <c r="D22" s="333"/>
      <c r="E22" s="279">
        <f>IF(B22&gt;$B$7,B22-$B$7,0)</f>
        <v>20</v>
      </c>
      <c r="F22" s="280">
        <f>E22/B22</f>
        <v>0.49590875278948676</v>
      </c>
      <c r="G22" s="281">
        <f>IF(E22&gt;0,$B$7/B22,100%)</f>
        <v>0.50409124721051324</v>
      </c>
      <c r="H22" s="282">
        <f t="shared" si="9"/>
        <v>1</v>
      </c>
      <c r="I22" s="285"/>
      <c r="J22" s="283">
        <f>E22*$J$7</f>
        <v>0.4</v>
      </c>
      <c r="K22" s="284">
        <f>J22/E22</f>
        <v>0.02</v>
      </c>
      <c r="L22" s="285"/>
      <c r="M22" s="286">
        <f t="shared" si="24"/>
        <v>0.35040912472105135</v>
      </c>
      <c r="N22" s="329">
        <f>IF(B22&lt;$B$16,M22/E22,M22/E22)</f>
        <v>1.7520456236052567E-2</v>
      </c>
      <c r="O22" s="288"/>
      <c r="P22" s="289">
        <f t="shared" si="16"/>
        <v>0.30659999999999998</v>
      </c>
      <c r="Q22" s="306" t="e">
        <f>(#REF!-#REF!)/#REF!</f>
        <v>#REF!</v>
      </c>
      <c r="R22" s="291"/>
      <c r="S22" s="292">
        <f t="shared" si="2"/>
        <v>0.35619087527894866</v>
      </c>
      <c r="T22" s="337">
        <f t="shared" si="3"/>
        <v>1.7520456236052567E-2</v>
      </c>
      <c r="U22" s="338"/>
      <c r="V22" s="295">
        <f t="shared" si="14"/>
        <v>21393.273000000001</v>
      </c>
      <c r="W22" s="296">
        <f t="shared" si="6"/>
        <v>19959.104886932808</v>
      </c>
      <c r="X22" s="331">
        <f t="shared" si="7"/>
        <v>-1434.1681130671932</v>
      </c>
      <c r="Y22" s="338"/>
      <c r="Z22" s="298" t="e">
        <f t="shared" si="4"/>
        <v>#REF!</v>
      </c>
      <c r="AA22" s="293">
        <f t="shared" si="15"/>
        <v>0.70660000000000001</v>
      </c>
      <c r="AB22" s="338"/>
      <c r="AC22" s="299">
        <f>J22/E22</f>
        <v>0.02</v>
      </c>
      <c r="AD22" s="339">
        <f>M22/E22</f>
        <v>1.7520456236052567E-2</v>
      </c>
      <c r="AE22" s="340">
        <f t="shared" si="17"/>
        <v>-4.9590875278948676E-2</v>
      </c>
      <c r="AF22" s="341">
        <f t="shared" si="18"/>
        <v>-0.12397718819737169</v>
      </c>
      <c r="AL22" s="342"/>
      <c r="AM22" s="342"/>
      <c r="AP22" s="154">
        <f t="shared" si="19"/>
        <v>20.329999999999998</v>
      </c>
      <c r="AQ22" s="304">
        <f t="shared" si="20"/>
        <v>0.50409124721051324</v>
      </c>
      <c r="AR22" s="155">
        <f t="shared" si="21"/>
        <v>0</v>
      </c>
      <c r="AT22" s="304"/>
      <c r="AU22" s="305">
        <f t="shared" si="22"/>
        <v>15006.270766179025</v>
      </c>
      <c r="AX22" s="304">
        <f>E22*$BC$6</f>
        <v>0.4</v>
      </c>
    </row>
    <row r="23" spans="2:55" x14ac:dyDescent="0.25">
      <c r="B23" s="203">
        <f t="shared" si="23"/>
        <v>41.33</v>
      </c>
      <c r="C23" s="278">
        <f t="shared" si="25"/>
        <v>0.70660000000000001</v>
      </c>
      <c r="D23" s="333"/>
      <c r="E23" s="279">
        <f>IF(B23&gt;$B$7,B23-$B$7,0)</f>
        <v>21</v>
      </c>
      <c r="F23" s="280">
        <f>E23/B23</f>
        <v>0.50810549237841762</v>
      </c>
      <c r="G23" s="281">
        <f>IF(E23&gt;0,$B$7/B23,100%)</f>
        <v>0.49189450762158238</v>
      </c>
      <c r="H23" s="282">
        <f t="shared" si="9"/>
        <v>1</v>
      </c>
      <c r="I23" s="285"/>
      <c r="J23" s="283">
        <f>E23*$J$7</f>
        <v>0.42</v>
      </c>
      <c r="K23" s="284">
        <f>J23/E23</f>
        <v>0.02</v>
      </c>
      <c r="L23" s="285"/>
      <c r="M23" s="286">
        <f t="shared" si="24"/>
        <v>0.35902734091458988</v>
      </c>
      <c r="N23" s="329">
        <f>IF(B23&lt;$B$16,M23/E23,M23/E23)</f>
        <v>1.7096540043551899E-2</v>
      </c>
      <c r="O23" s="288"/>
      <c r="P23" s="289">
        <f t="shared" si="16"/>
        <v>0.28660000000000002</v>
      </c>
      <c r="Q23" s="306">
        <f>(C18-P18)/E18</f>
        <v>0.02</v>
      </c>
      <c r="R23" s="291"/>
      <c r="S23" s="292">
        <f t="shared" si="2"/>
        <v>0.34757265908541013</v>
      </c>
      <c r="T23" s="337">
        <f t="shared" si="3"/>
        <v>1.7096540043551902E-2</v>
      </c>
      <c r="U23" s="338"/>
      <c r="V23" s="295">
        <f t="shared" si="14"/>
        <v>21971.672999999999</v>
      </c>
      <c r="W23" s="296">
        <f t="shared" si="6"/>
        <v>20208.343699249941</v>
      </c>
      <c r="X23" s="331">
        <f t="shared" si="7"/>
        <v>-1763.3293007500579</v>
      </c>
      <c r="Y23" s="338"/>
      <c r="Z23" s="298">
        <f t="shared" si="4"/>
        <v>0.8266</v>
      </c>
      <c r="AA23" s="293">
        <f t="shared" si="15"/>
        <v>0.70660000000000001</v>
      </c>
      <c r="AB23" s="338"/>
      <c r="AC23" s="299">
        <f>J23/E23</f>
        <v>0.02</v>
      </c>
      <c r="AD23" s="339">
        <f>M23/E23</f>
        <v>1.7096540043551899E-2</v>
      </c>
      <c r="AE23" s="340">
        <f t="shared" si="17"/>
        <v>-6.0972659085410108E-2</v>
      </c>
      <c r="AF23" s="341">
        <f>((AD23/$C$7)-1)</f>
        <v>-0.14517299782240511</v>
      </c>
      <c r="AL23" s="342"/>
      <c r="AM23" s="342"/>
      <c r="AP23" s="154">
        <f t="shared" si="19"/>
        <v>20.329999999999998</v>
      </c>
      <c r="AQ23" s="304">
        <f t="shared" si="20"/>
        <v>0.49189450762158238</v>
      </c>
      <c r="AR23" s="155">
        <f t="shared" si="21"/>
        <v>0</v>
      </c>
      <c r="AT23" s="304"/>
      <c r="AU23" s="305">
        <f t="shared" si="22"/>
        <v>15375.345874667311</v>
      </c>
      <c r="AX23" s="304">
        <f>E23*$BC$6</f>
        <v>0.42</v>
      </c>
    </row>
    <row r="24" spans="2:55" ht="14.4" thickBot="1" x14ac:dyDescent="0.3">
      <c r="B24" s="308">
        <f>B23+0.33</f>
        <v>41.66</v>
      </c>
      <c r="C24" s="309">
        <f t="shared" si="25"/>
        <v>0.70660000000000001</v>
      </c>
      <c r="D24" s="333"/>
      <c r="E24" s="279">
        <f>IF(B24&gt;$B$7,B24-$B$7,0)</f>
        <v>21.33</v>
      </c>
      <c r="F24" s="280">
        <f>E24/B24</f>
        <v>0.51200192030724911</v>
      </c>
      <c r="G24" s="281">
        <f>IF(E24&gt;0,$B$7/B24,100%)</f>
        <v>0.48799807969275083</v>
      </c>
      <c r="H24" s="282">
        <f t="shared" si="9"/>
        <v>1</v>
      </c>
      <c r="I24" s="285"/>
      <c r="J24" s="283">
        <f>E24*$J$7</f>
        <v>0.42659999999999998</v>
      </c>
      <c r="K24" s="284">
        <f>J24/E24</f>
        <v>0.02</v>
      </c>
      <c r="L24" s="285"/>
      <c r="M24" s="286">
        <f t="shared" si="24"/>
        <v>0.36178055688910221</v>
      </c>
      <c r="N24" s="329">
        <f>IF(B24&lt;$B$16,M24/E24,M24/E24)</f>
        <v>1.6961113778204511E-2</v>
      </c>
      <c r="O24" s="288"/>
      <c r="P24" s="289">
        <f t="shared" si="16"/>
        <v>0.28000000000000003</v>
      </c>
      <c r="Q24" s="306">
        <f>(C19-P19)/E19</f>
        <v>0.02</v>
      </c>
      <c r="R24" s="291"/>
      <c r="S24" s="292">
        <f t="shared" si="2"/>
        <v>0.34481944311089774</v>
      </c>
      <c r="T24" s="337">
        <f t="shared" si="3"/>
        <v>1.6961113778204515E-2</v>
      </c>
      <c r="U24" s="338"/>
      <c r="V24" s="295">
        <f t="shared" si="14"/>
        <v>22162.545000000002</v>
      </c>
      <c r="W24" s="296">
        <f t="shared" si="6"/>
        <v>20287.966705232837</v>
      </c>
      <c r="X24" s="331">
        <f t="shared" si="7"/>
        <v>-1874.5782947671651</v>
      </c>
      <c r="Y24" s="338"/>
      <c r="Z24" s="298">
        <f t="shared" si="4"/>
        <v>0.83319999999999994</v>
      </c>
      <c r="AA24" s="293">
        <f t="shared" si="15"/>
        <v>0.70659999999999989</v>
      </c>
      <c r="AB24" s="338"/>
      <c r="AC24" s="299">
        <f>J24/E24</f>
        <v>0.02</v>
      </c>
      <c r="AD24" s="339">
        <f>M24/E24</f>
        <v>1.6961113778204511E-2</v>
      </c>
      <c r="AE24" s="340">
        <f t="shared" si="17"/>
        <v>-6.4819443110897768E-2</v>
      </c>
      <c r="AF24" s="341">
        <f>((AD24/$C$7)-1)</f>
        <v>-0.15194431108977446</v>
      </c>
      <c r="AL24" s="342"/>
      <c r="AM24" s="342"/>
      <c r="AQ24" s="304"/>
      <c r="AR24" s="155"/>
      <c r="AT24" s="304"/>
      <c r="AU24" s="305"/>
      <c r="AX24" s="304"/>
    </row>
    <row r="25" spans="2:55" ht="14.4" thickBot="1" x14ac:dyDescent="0.3">
      <c r="B25" s="314">
        <f>B24+1</f>
        <v>42.66</v>
      </c>
      <c r="C25" s="343">
        <f t="shared" si="25"/>
        <v>0.70660000000000001</v>
      </c>
      <c r="D25" s="333"/>
      <c r="E25" s="344">
        <f>IF(B25&gt;$B$7,B25-$B$7,0)</f>
        <v>22.33</v>
      </c>
      <c r="F25" s="285">
        <f>E25/B25</f>
        <v>0.52344116268166896</v>
      </c>
      <c r="G25" s="345">
        <f>$B$7/B25</f>
        <v>0.47655883731833099</v>
      </c>
      <c r="H25" s="282">
        <f t="shared" si="9"/>
        <v>1</v>
      </c>
      <c r="I25" s="285"/>
      <c r="J25" s="346">
        <f>E25*$J$7</f>
        <v>0.4466</v>
      </c>
      <c r="K25" s="346">
        <f>J25/E25</f>
        <v>0.02</v>
      </c>
      <c r="L25" s="285"/>
      <c r="M25" s="293">
        <f t="shared" si="24"/>
        <v>0.36986352555086727</v>
      </c>
      <c r="N25" s="337">
        <f>IF(B25&lt;$B$16,M25/E25,M25/E25)</f>
        <v>1.6563525550867323E-2</v>
      </c>
      <c r="O25" s="288"/>
      <c r="P25" s="347">
        <f t="shared" si="16"/>
        <v>0.26</v>
      </c>
      <c r="Q25" s="347">
        <f>(C20-P20)/E20</f>
        <v>0.02</v>
      </c>
      <c r="R25" s="291"/>
      <c r="S25" s="320">
        <f t="shared" si="2"/>
        <v>0.33673647444913268</v>
      </c>
      <c r="T25" s="330">
        <f t="shared" si="3"/>
        <v>1.6563525550867323E-2</v>
      </c>
      <c r="U25" s="348"/>
      <c r="V25" s="349">
        <f t="shared" si="14"/>
        <v>22740.945</v>
      </c>
      <c r="W25" s="350">
        <f t="shared" si="6"/>
        <v>20521.72615893108</v>
      </c>
      <c r="X25" s="351">
        <f t="shared" si="7"/>
        <v>-2219.2188410689196</v>
      </c>
      <c r="Y25" s="338"/>
      <c r="Z25" s="298">
        <f t="shared" si="4"/>
        <v>0.85319999999999996</v>
      </c>
      <c r="AA25" s="293">
        <f t="shared" si="15"/>
        <v>0.70659999999999989</v>
      </c>
      <c r="AB25" s="348"/>
      <c r="AC25" s="352">
        <f>J25/E25</f>
        <v>0.02</v>
      </c>
      <c r="AD25" s="353">
        <f>M25/E25</f>
        <v>1.6563525550867323E-2</v>
      </c>
      <c r="AE25" s="354">
        <f t="shared" si="17"/>
        <v>-7.673647444913273E-2</v>
      </c>
      <c r="AF25" s="355">
        <f t="shared" si="18"/>
        <v>-0.17182372245663391</v>
      </c>
      <c r="AL25" s="342"/>
      <c r="AM25" s="342"/>
      <c r="AP25" s="154">
        <f t="shared" ref="AP25:AP33" si="26">+$AP$11</f>
        <v>20.329999999999998</v>
      </c>
      <c r="AQ25" s="304">
        <f t="shared" ref="AQ25:AQ33" si="27">AP25/B25</f>
        <v>0.47655883731833099</v>
      </c>
      <c r="AR25" s="155">
        <f t="shared" si="21"/>
        <v>0</v>
      </c>
      <c r="AT25" s="304"/>
      <c r="AU25" s="305">
        <f t="shared" ref="AU25:AU33" si="28" xml:space="preserve"> $E$7*M25</f>
        <v>15839.40548171589</v>
      </c>
      <c r="AX25" s="304">
        <f>E25*$BC$6</f>
        <v>0.4466</v>
      </c>
    </row>
    <row r="26" spans="2:55" ht="14.4" thickBot="1" x14ac:dyDescent="0.3">
      <c r="B26" s="265">
        <f>B25+0.34</f>
        <v>43</v>
      </c>
      <c r="C26" s="332">
        <f t="shared" si="25"/>
        <v>0.70660000000000001</v>
      </c>
      <c r="D26" s="333"/>
      <c r="E26" s="344">
        <f>IF(B26&gt;$B$7,B26-$B$7,0)</f>
        <v>22.67</v>
      </c>
      <c r="F26" s="316">
        <f>E26/B26</f>
        <v>0.52720930232558139</v>
      </c>
      <c r="G26" s="345">
        <f>$B$7/B26</f>
        <v>0.47279069767441856</v>
      </c>
      <c r="H26" s="282">
        <f t="shared" si="9"/>
        <v>1</v>
      </c>
      <c r="I26" s="285"/>
      <c r="J26" s="356">
        <f>E26*$J$7</f>
        <v>0.45340000000000003</v>
      </c>
      <c r="K26" s="356">
        <f>J26/E26</f>
        <v>0.02</v>
      </c>
      <c r="L26" s="285"/>
      <c r="M26" s="357">
        <f t="shared" si="24"/>
        <v>0.37252609302325579</v>
      </c>
      <c r="N26" s="330">
        <f>IF(B26&lt;$B$16,M26/E26,M26/E26)</f>
        <v>1.643255813953488E-2</v>
      </c>
      <c r="O26" s="358"/>
      <c r="P26" s="321">
        <f t="shared" si="16"/>
        <v>0.25319999999999998</v>
      </c>
      <c r="Q26" s="359">
        <f>(C21-P21)/E21</f>
        <v>0.02</v>
      </c>
      <c r="R26" s="291"/>
      <c r="S26" s="320">
        <f t="shared" si="2"/>
        <v>0.33407390697674416</v>
      </c>
      <c r="T26" s="330">
        <f t="shared" si="3"/>
        <v>1.6432558139534884E-2</v>
      </c>
      <c r="U26" s="338"/>
      <c r="V26" s="295">
        <f t="shared" si="14"/>
        <v>22937.600999999999</v>
      </c>
      <c r="W26" s="296">
        <f t="shared" si="6"/>
        <v>20598.727610232556</v>
      </c>
      <c r="X26" s="331">
        <f t="shared" si="7"/>
        <v>-2338.8733897674429</v>
      </c>
      <c r="Y26" s="338"/>
      <c r="Z26" s="298">
        <f t="shared" si="4"/>
        <v>0.86</v>
      </c>
      <c r="AA26" s="293">
        <f t="shared" si="15"/>
        <v>0.70659999999999989</v>
      </c>
      <c r="AB26" s="338"/>
      <c r="AC26" s="299">
        <f>J26/E26</f>
        <v>0.02</v>
      </c>
      <c r="AD26" s="339">
        <f>M26/E26</f>
        <v>1.643255813953488E-2</v>
      </c>
      <c r="AE26" s="340">
        <f t="shared" si="17"/>
        <v>-8.0873906976744236E-2</v>
      </c>
      <c r="AF26" s="341">
        <f t="shared" si="18"/>
        <v>-0.17837209302325596</v>
      </c>
      <c r="AL26" s="342"/>
      <c r="AM26" s="342"/>
      <c r="AP26" s="154">
        <f t="shared" si="26"/>
        <v>20.329999999999998</v>
      </c>
      <c r="AQ26" s="304">
        <f t="shared" si="27"/>
        <v>0.47279069767441856</v>
      </c>
      <c r="AR26" s="155">
        <f t="shared" si="21"/>
        <v>0</v>
      </c>
      <c r="AT26" s="304"/>
      <c r="AU26" s="305">
        <f t="shared" si="28"/>
        <v>15953.429933720929</v>
      </c>
      <c r="AX26" s="304">
        <f>E26*$BC$6</f>
        <v>0.45340000000000003</v>
      </c>
    </row>
    <row r="27" spans="2:55" x14ac:dyDescent="0.25">
      <c r="B27" s="360">
        <f>B26+1</f>
        <v>44</v>
      </c>
      <c r="C27" s="278">
        <f>IF(B27&lt;$B$16,B27*#REF!,(B27-(B27-$B$16))*$C$7)</f>
        <v>0.70660000000000001</v>
      </c>
      <c r="D27" s="333"/>
      <c r="E27" s="279">
        <f>IF(B27&gt;$B$7,B27-$B$7,0)</f>
        <v>23.67</v>
      </c>
      <c r="F27" s="280">
        <f>E27/B27</f>
        <v>0.53795454545454546</v>
      </c>
      <c r="G27" s="281">
        <f t="shared" ref="G27:G37" si="29">$B$7/B27</f>
        <v>0.46204545454545448</v>
      </c>
      <c r="H27" s="282">
        <f t="shared" si="9"/>
        <v>1</v>
      </c>
      <c r="I27" s="285"/>
      <c r="J27" s="283">
        <f>E27*$J$7</f>
        <v>0.47340000000000004</v>
      </c>
      <c r="K27" s="284">
        <f>J27/E27</f>
        <v>0.02</v>
      </c>
      <c r="L27" s="285"/>
      <c r="M27" s="286">
        <f t="shared" si="24"/>
        <v>0.38011868181818181</v>
      </c>
      <c r="N27" s="329">
        <f>IF(B27&lt;$B$16,M27/E27,M27/E27)</f>
        <v>1.6059090909090908E-2</v>
      </c>
      <c r="O27" s="288"/>
      <c r="P27" s="289">
        <f t="shared" si="16"/>
        <v>0.23319999999999996</v>
      </c>
      <c r="Q27" s="306">
        <f>(C22-P22)/E22</f>
        <v>0.02</v>
      </c>
      <c r="R27" s="291"/>
      <c r="S27" s="292">
        <f t="shared" si="2"/>
        <v>0.32648131818181814</v>
      </c>
      <c r="T27" s="337">
        <f t="shared" si="3"/>
        <v>1.6059090909090908E-2</v>
      </c>
      <c r="U27" s="338"/>
      <c r="V27" s="295">
        <f t="shared" si="14"/>
        <v>23516.001000000004</v>
      </c>
      <c r="W27" s="296">
        <f t="shared" si="6"/>
        <v>20818.305278181819</v>
      </c>
      <c r="X27" s="331">
        <f t="shared" si="7"/>
        <v>-2697.6957218181851</v>
      </c>
      <c r="Y27" s="338"/>
      <c r="Z27" s="298">
        <f t="shared" si="4"/>
        <v>0.88</v>
      </c>
      <c r="AA27" s="293">
        <f t="shared" si="15"/>
        <v>0.70659999999999989</v>
      </c>
      <c r="AB27" s="338"/>
      <c r="AC27" s="325">
        <f>J27/E27</f>
        <v>0.02</v>
      </c>
      <c r="AD27" s="339">
        <f>M27/E27</f>
        <v>1.6059090909090908E-2</v>
      </c>
      <c r="AE27" s="340">
        <f t="shared" si="17"/>
        <v>-9.3281318181818229E-2</v>
      </c>
      <c r="AF27" s="341">
        <f t="shared" si="18"/>
        <v>-0.19704545454545463</v>
      </c>
      <c r="AL27" s="342"/>
      <c r="AM27" s="342"/>
      <c r="AP27" s="154">
        <f t="shared" si="26"/>
        <v>20.329999999999998</v>
      </c>
      <c r="AQ27" s="304">
        <f t="shared" si="27"/>
        <v>0.46204545454545448</v>
      </c>
      <c r="AR27" s="155">
        <f t="shared" si="21"/>
        <v>0</v>
      </c>
      <c r="AT27" s="304"/>
      <c r="AU27" s="305">
        <f t="shared" si="28"/>
        <v>16278.582548863636</v>
      </c>
      <c r="AX27" s="304">
        <f>E27*$BC$6</f>
        <v>0.47340000000000004</v>
      </c>
    </row>
    <row r="28" spans="2:55" x14ac:dyDescent="0.25">
      <c r="B28" s="360">
        <f>B27+1</f>
        <v>45</v>
      </c>
      <c r="C28" s="278">
        <f t="shared" ref="C28:C37" si="30">IF(B28&lt;$B$16,B28*J18,(B28-(B28-$B$16))*$C$7)</f>
        <v>0.70660000000000001</v>
      </c>
      <c r="D28" s="333"/>
      <c r="E28" s="279">
        <f>IF(B28&gt;$B$7,B28-$B$7,0)</f>
        <v>24.67</v>
      </c>
      <c r="F28" s="280">
        <f>E28/B28</f>
        <v>0.54822222222222228</v>
      </c>
      <c r="G28" s="281">
        <f t="shared" si="29"/>
        <v>0.45177777777777772</v>
      </c>
      <c r="H28" s="282">
        <f t="shared" si="9"/>
        <v>1</v>
      </c>
      <c r="I28" s="285"/>
      <c r="J28" s="283">
        <f>E28*$J$7</f>
        <v>0.49340000000000006</v>
      </c>
      <c r="K28" s="284">
        <f>J28/E28</f>
        <v>0.02</v>
      </c>
      <c r="L28" s="285"/>
      <c r="M28" s="286">
        <f t="shared" si="24"/>
        <v>0.38737382222222227</v>
      </c>
      <c r="N28" s="329">
        <f>IF(B28&lt;$B$16,M28/E28,M28/E28)</f>
        <v>1.5702222222222222E-2</v>
      </c>
      <c r="O28" s="288"/>
      <c r="P28" s="289">
        <f t="shared" si="16"/>
        <v>0.21319999999999995</v>
      </c>
      <c r="Q28" s="306">
        <f>(C23-P23)/E23</f>
        <v>0.02</v>
      </c>
      <c r="R28" s="291"/>
      <c r="S28" s="292">
        <f t="shared" si="2"/>
        <v>0.31922617777777773</v>
      </c>
      <c r="T28" s="337">
        <f t="shared" si="3"/>
        <v>1.5702222222222222E-2</v>
      </c>
      <c r="U28" s="338"/>
      <c r="V28" s="295">
        <f t="shared" si="14"/>
        <v>24094.401000000002</v>
      </c>
      <c r="W28" s="296">
        <f t="shared" si="6"/>
        <v>21028.123938666671</v>
      </c>
      <c r="X28" s="331">
        <f t="shared" si="7"/>
        <v>-3066.2770613333305</v>
      </c>
      <c r="Y28" s="338"/>
      <c r="Z28" s="298">
        <f t="shared" si="4"/>
        <v>0.9</v>
      </c>
      <c r="AA28" s="293">
        <f t="shared" si="15"/>
        <v>0.70660000000000001</v>
      </c>
      <c r="AB28" s="338"/>
      <c r="AC28" s="299">
        <f>J28/E28</f>
        <v>0.02</v>
      </c>
      <c r="AD28" s="339">
        <f>M28/E28</f>
        <v>1.5702222222222222E-2</v>
      </c>
      <c r="AE28" s="340">
        <f t="shared" si="17"/>
        <v>-0.10602617777777779</v>
      </c>
      <c r="AF28" s="341">
        <f t="shared" si="18"/>
        <v>-0.21488888888888891</v>
      </c>
      <c r="AL28" s="342"/>
      <c r="AM28" s="342"/>
      <c r="AP28" s="154">
        <f t="shared" si="26"/>
        <v>20.329999999999998</v>
      </c>
      <c r="AQ28" s="304">
        <f t="shared" si="27"/>
        <v>0.45177777777777772</v>
      </c>
      <c r="AR28" s="155">
        <f t="shared" si="21"/>
        <v>0</v>
      </c>
      <c r="AT28" s="304"/>
      <c r="AU28" s="305">
        <f t="shared" si="28"/>
        <v>16589.28393666667</v>
      </c>
      <c r="AX28" s="304">
        <f>E28*$BC$6</f>
        <v>0.49340000000000006</v>
      </c>
    </row>
    <row r="29" spans="2:55" x14ac:dyDescent="0.25">
      <c r="B29" s="360">
        <f t="shared" ref="B29:B33" si="31">B28+1</f>
        <v>46</v>
      </c>
      <c r="C29" s="278">
        <f t="shared" si="30"/>
        <v>0.70660000000000001</v>
      </c>
      <c r="D29" s="333"/>
      <c r="E29" s="279">
        <f>IF(B29&gt;$B$7,B29-$B$7,0)</f>
        <v>25.67</v>
      </c>
      <c r="F29" s="280">
        <f>E29/B29</f>
        <v>0.55804347826086964</v>
      </c>
      <c r="G29" s="281">
        <f t="shared" si="29"/>
        <v>0.44195652173913041</v>
      </c>
      <c r="H29" s="282">
        <f t="shared" si="9"/>
        <v>1</v>
      </c>
      <c r="I29" s="285"/>
      <c r="J29" s="283">
        <f>E29*$J$7</f>
        <v>0.51340000000000008</v>
      </c>
      <c r="K29" s="284">
        <f>J29/E29</f>
        <v>0.02</v>
      </c>
      <c r="L29" s="285"/>
      <c r="M29" s="286">
        <f t="shared" si="24"/>
        <v>0.39431352173913048</v>
      </c>
      <c r="N29" s="329">
        <f>IF(B29&lt;$B$16,M29/E29,M29/E29)</f>
        <v>1.5360869565217391E-2</v>
      </c>
      <c r="O29" s="288"/>
      <c r="P29" s="289">
        <f t="shared" si="16"/>
        <v>0.19319999999999993</v>
      </c>
      <c r="Q29" s="306">
        <f>(C24-P24)/E24</f>
        <v>0.02</v>
      </c>
      <c r="R29" s="291"/>
      <c r="S29" s="292">
        <f t="shared" si="2"/>
        <v>0.31228647826086953</v>
      </c>
      <c r="T29" s="337">
        <f t="shared" si="3"/>
        <v>1.5360869565217391E-2</v>
      </c>
      <c r="U29" s="338"/>
      <c r="V29" s="295">
        <f t="shared" si="14"/>
        <v>24672.801000000003</v>
      </c>
      <c r="W29" s="296">
        <f t="shared" si="6"/>
        <v>21228.820048695652</v>
      </c>
      <c r="X29" s="331">
        <f t="shared" si="7"/>
        <v>-3443.980951304351</v>
      </c>
      <c r="Y29" s="338"/>
      <c r="Z29" s="298">
        <f t="shared" si="4"/>
        <v>0.92</v>
      </c>
      <c r="AA29" s="293">
        <f t="shared" si="15"/>
        <v>0.70660000000000001</v>
      </c>
      <c r="AB29" s="338"/>
      <c r="AC29" s="299">
        <f>J29/E29</f>
        <v>0.02</v>
      </c>
      <c r="AD29" s="339">
        <f>M29/E29</f>
        <v>1.5360869565217391E-2</v>
      </c>
      <c r="AE29" s="340">
        <f t="shared" si="17"/>
        <v>-0.1190864782608696</v>
      </c>
      <c r="AF29" s="341">
        <f t="shared" si="18"/>
        <v>-0.23195652173913051</v>
      </c>
      <c r="AL29" s="342"/>
      <c r="AM29" s="342"/>
      <c r="AP29" s="154">
        <f t="shared" si="26"/>
        <v>20.329999999999998</v>
      </c>
      <c r="AQ29" s="304">
        <f t="shared" si="27"/>
        <v>0.44195652173913041</v>
      </c>
      <c r="AR29" s="155">
        <f t="shared" si="21"/>
        <v>0</v>
      </c>
      <c r="AT29" s="304"/>
      <c r="AU29" s="305">
        <f t="shared" si="28"/>
        <v>16886.476568478261</v>
      </c>
      <c r="AX29" s="304">
        <f>E29*$BC$6</f>
        <v>0.51340000000000008</v>
      </c>
    </row>
    <row r="30" spans="2:55" x14ac:dyDescent="0.25">
      <c r="B30" s="360">
        <f t="shared" si="31"/>
        <v>47</v>
      </c>
      <c r="C30" s="278">
        <f t="shared" si="30"/>
        <v>0.70660000000000001</v>
      </c>
      <c r="D30" s="333"/>
      <c r="E30" s="279">
        <f>IF(B30&gt;$B$7,B30-$B$7,0)</f>
        <v>26.67</v>
      </c>
      <c r="F30" s="280">
        <f>E30/B30</f>
        <v>0.56744680851063833</v>
      </c>
      <c r="G30" s="281">
        <f t="shared" si="29"/>
        <v>0.43255319148936167</v>
      </c>
      <c r="H30" s="282">
        <f t="shared" si="9"/>
        <v>1</v>
      </c>
      <c r="I30" s="285"/>
      <c r="J30" s="283">
        <f>E30*$J$7</f>
        <v>0.5334000000000001</v>
      </c>
      <c r="K30" s="284">
        <f>J30/E30</f>
        <v>2.0000000000000004E-2</v>
      </c>
      <c r="L30" s="285"/>
      <c r="M30" s="286">
        <f t="shared" si="24"/>
        <v>0.40095791489361704</v>
      </c>
      <c r="N30" s="329">
        <f>IF(B30&lt;$B$16,M30/E30,M30/E30)</f>
        <v>1.5034042553191488E-2</v>
      </c>
      <c r="O30" s="288"/>
      <c r="P30" s="289">
        <f t="shared" si="16"/>
        <v>0.17319999999999991</v>
      </c>
      <c r="Q30" s="306">
        <f>(C25-P25)/E25</f>
        <v>0.02</v>
      </c>
      <c r="R30" s="291"/>
      <c r="S30" s="292">
        <f t="shared" si="2"/>
        <v>0.30564208510638297</v>
      </c>
      <c r="T30" s="337">
        <f t="shared" si="3"/>
        <v>1.503404255319149E-2</v>
      </c>
      <c r="U30" s="338"/>
      <c r="V30" s="295">
        <f t="shared" si="14"/>
        <v>25251.201000000001</v>
      </c>
      <c r="W30" s="296">
        <f t="shared" si="6"/>
        <v>21420.975898723402</v>
      </c>
      <c r="X30" s="331">
        <f t="shared" si="7"/>
        <v>-3830.2251012765992</v>
      </c>
      <c r="Y30" s="338"/>
      <c r="Z30" s="298">
        <f t="shared" si="4"/>
        <v>0.94000000000000006</v>
      </c>
      <c r="AA30" s="293">
        <f t="shared" si="15"/>
        <v>0.70660000000000001</v>
      </c>
      <c r="AB30" s="338"/>
      <c r="AC30" s="299">
        <f>J30/E30</f>
        <v>2.0000000000000004E-2</v>
      </c>
      <c r="AD30" s="339">
        <f>M30/E30</f>
        <v>1.5034042553191488E-2</v>
      </c>
      <c r="AE30" s="340">
        <f t="shared" si="17"/>
        <v>-0.13244208510638306</v>
      </c>
      <c r="AF30" s="341">
        <f t="shared" si="18"/>
        <v>-0.24829787234042555</v>
      </c>
      <c r="AL30" s="342"/>
      <c r="AM30" s="342"/>
      <c r="AP30" s="154">
        <f t="shared" si="26"/>
        <v>20.329999999999998</v>
      </c>
      <c r="AQ30" s="304">
        <f t="shared" si="27"/>
        <v>0.43255319148936167</v>
      </c>
      <c r="AR30" s="155">
        <f t="shared" si="21"/>
        <v>0</v>
      </c>
      <c r="AT30" s="304"/>
      <c r="AU30" s="305">
        <f t="shared" si="28"/>
        <v>17171.022705319148</v>
      </c>
      <c r="AX30" s="304">
        <f>E30*$BC$6</f>
        <v>0.5334000000000001</v>
      </c>
    </row>
    <row r="31" spans="2:55" x14ac:dyDescent="0.25">
      <c r="B31" s="360">
        <f t="shared" si="31"/>
        <v>48</v>
      </c>
      <c r="C31" s="278">
        <f t="shared" si="30"/>
        <v>0.70660000000000001</v>
      </c>
      <c r="D31" s="333"/>
      <c r="E31" s="279">
        <f>IF(B31&gt;$B$7,B31-$B$7,0)</f>
        <v>27.67</v>
      </c>
      <c r="F31" s="280">
        <f>E31/B31</f>
        <v>0.57645833333333341</v>
      </c>
      <c r="G31" s="281">
        <f t="shared" si="29"/>
        <v>0.42354166666666665</v>
      </c>
      <c r="H31" s="282">
        <f t="shared" si="9"/>
        <v>1</v>
      </c>
      <c r="I31" s="285"/>
      <c r="J31" s="283">
        <f>E31*$J$7</f>
        <v>0.5534</v>
      </c>
      <c r="K31" s="284">
        <f>J31/E31</f>
        <v>0.02</v>
      </c>
      <c r="L31" s="285"/>
      <c r="M31" s="286">
        <f t="shared" si="24"/>
        <v>0.40732545833333339</v>
      </c>
      <c r="N31" s="329">
        <f>IF(B31&lt;$B$16,M31/E31,M31/E31)</f>
        <v>1.4720833333333334E-2</v>
      </c>
      <c r="O31" s="288"/>
      <c r="P31" s="289">
        <f t="shared" si="16"/>
        <v>0.1532</v>
      </c>
      <c r="Q31" s="306">
        <f>(C26-P26)/E26</f>
        <v>0.02</v>
      </c>
      <c r="R31" s="291"/>
      <c r="S31" s="292">
        <f t="shared" si="2"/>
        <v>0.29927454166666667</v>
      </c>
      <c r="T31" s="337">
        <f t="shared" si="3"/>
        <v>1.4720833333333334E-2</v>
      </c>
      <c r="U31" s="338"/>
      <c r="V31" s="295">
        <f t="shared" si="14"/>
        <v>25829.600999999999</v>
      </c>
      <c r="W31" s="296">
        <f t="shared" si="6"/>
        <v>21605.125254999999</v>
      </c>
      <c r="X31" s="331">
        <f t="shared" si="7"/>
        <v>-4224.4757449999997</v>
      </c>
      <c r="Y31" s="338"/>
      <c r="Z31" s="298">
        <f t="shared" si="4"/>
        <v>0.96</v>
      </c>
      <c r="AA31" s="293">
        <f t="shared" si="15"/>
        <v>0.70660000000000012</v>
      </c>
      <c r="AB31" s="338"/>
      <c r="AC31" s="299">
        <f>J31/E31</f>
        <v>0.02</v>
      </c>
      <c r="AD31" s="339">
        <f>M31/E31</f>
        <v>1.4720833333333334E-2</v>
      </c>
      <c r="AE31" s="340">
        <f t="shared" si="17"/>
        <v>-0.14607454166666661</v>
      </c>
      <c r="AF31" s="341">
        <f t="shared" si="18"/>
        <v>-0.26395833333333329</v>
      </c>
      <c r="AL31" s="342"/>
      <c r="AM31" s="342"/>
      <c r="AP31" s="154">
        <f t="shared" si="26"/>
        <v>20.329999999999998</v>
      </c>
      <c r="AQ31" s="304">
        <f t="shared" si="27"/>
        <v>0.42354166666666665</v>
      </c>
      <c r="AR31" s="155">
        <f t="shared" si="21"/>
        <v>0</v>
      </c>
      <c r="AT31" s="304"/>
      <c r="AU31" s="305">
        <f t="shared" si="28"/>
        <v>17443.712753125001</v>
      </c>
      <c r="AX31" s="304">
        <f>E31*$BC$6</f>
        <v>0.5534</v>
      </c>
    </row>
    <row r="32" spans="2:55" x14ac:dyDescent="0.25">
      <c r="B32" s="360">
        <f t="shared" si="31"/>
        <v>49</v>
      </c>
      <c r="C32" s="278">
        <f t="shared" si="30"/>
        <v>0.70660000000000001</v>
      </c>
      <c r="D32" s="333"/>
      <c r="E32" s="279">
        <f>IF(B32&gt;$B$7,B32-$B$7,0)</f>
        <v>28.67</v>
      </c>
      <c r="F32" s="280">
        <f>E32/B32</f>
        <v>0.58510204081632655</v>
      </c>
      <c r="G32" s="281">
        <f t="shared" si="29"/>
        <v>0.41489795918367345</v>
      </c>
      <c r="H32" s="282">
        <f t="shared" si="9"/>
        <v>1</v>
      </c>
      <c r="I32" s="285"/>
      <c r="J32" s="283">
        <f>E32*$J$7</f>
        <v>0.57340000000000002</v>
      </c>
      <c r="K32" s="284">
        <f>J32/E32</f>
        <v>0.02</v>
      </c>
      <c r="L32" s="285"/>
      <c r="M32" s="286">
        <f t="shared" si="24"/>
        <v>0.41343310204081635</v>
      </c>
      <c r="N32" s="329">
        <f>IF(B32&lt;$B$16,M32/E32,M32/E32)</f>
        <v>1.4420408163265307E-2</v>
      </c>
      <c r="O32" s="288"/>
      <c r="P32" s="289">
        <f t="shared" si="16"/>
        <v>0.13319999999999999</v>
      </c>
      <c r="Q32" s="306">
        <f>(C27-P27)/E27</f>
        <v>0.02</v>
      </c>
      <c r="R32" s="291"/>
      <c r="S32" s="292">
        <f t="shared" si="2"/>
        <v>0.29316689795918366</v>
      </c>
      <c r="T32" s="337">
        <f t="shared" si="3"/>
        <v>1.4420408163265307E-2</v>
      </c>
      <c r="U32" s="338"/>
      <c r="V32" s="295">
        <f t="shared" si="14"/>
        <v>26408.001</v>
      </c>
      <c r="W32" s="296">
        <f t="shared" si="6"/>
        <v>21781.75831102041</v>
      </c>
      <c r="X32" s="331">
        <f t="shared" si="7"/>
        <v>-4626.2426889795897</v>
      </c>
      <c r="Y32" s="338"/>
      <c r="Z32" s="298">
        <f t="shared" si="4"/>
        <v>0.98</v>
      </c>
      <c r="AA32" s="293">
        <f t="shared" si="15"/>
        <v>0.70660000000000001</v>
      </c>
      <c r="AB32" s="338"/>
      <c r="AC32" s="299">
        <f>J32/E32</f>
        <v>0.02</v>
      </c>
      <c r="AD32" s="339">
        <f>M32/E32</f>
        <v>1.4420408163265307E-2</v>
      </c>
      <c r="AE32" s="340">
        <f t="shared" si="17"/>
        <v>-0.15996689795918367</v>
      </c>
      <c r="AF32" s="341">
        <f t="shared" si="18"/>
        <v>-0.27897959183673471</v>
      </c>
      <c r="AL32" s="342"/>
      <c r="AM32" s="342"/>
      <c r="AP32" s="154">
        <f t="shared" si="26"/>
        <v>20.329999999999998</v>
      </c>
      <c r="AQ32" s="304">
        <f t="shared" si="27"/>
        <v>0.41489795918367345</v>
      </c>
      <c r="AR32" s="155">
        <f t="shared" si="21"/>
        <v>0</v>
      </c>
      <c r="AT32" s="304"/>
      <c r="AU32" s="305">
        <f t="shared" si="28"/>
        <v>17705.272594897961</v>
      </c>
      <c r="AX32" s="304">
        <f>E32*$BC$6</f>
        <v>0.57340000000000002</v>
      </c>
    </row>
    <row r="33" spans="2:50" x14ac:dyDescent="0.25">
      <c r="B33" s="360">
        <f t="shared" si="31"/>
        <v>50</v>
      </c>
      <c r="C33" s="278">
        <f t="shared" si="30"/>
        <v>0.70660000000000001</v>
      </c>
      <c r="D33" s="333"/>
      <c r="E33" s="279">
        <f>IF(B33&gt;$B$7,B33-$B$7,0)</f>
        <v>29.67</v>
      </c>
      <c r="F33" s="280">
        <f>E33/B33</f>
        <v>0.59340000000000004</v>
      </c>
      <c r="G33" s="281">
        <f t="shared" si="29"/>
        <v>0.40659999999999996</v>
      </c>
      <c r="H33" s="282">
        <f t="shared" si="9"/>
        <v>1</v>
      </c>
      <c r="I33" s="285"/>
      <c r="J33" s="283">
        <f>E33*$J$7</f>
        <v>0.59340000000000004</v>
      </c>
      <c r="K33" s="284">
        <f>J33/E33</f>
        <v>0.02</v>
      </c>
      <c r="L33" s="285"/>
      <c r="M33" s="286">
        <f t="shared" si="24"/>
        <v>0.41929644000000005</v>
      </c>
      <c r="N33" s="329">
        <f>IF(B33&lt;$B$16,M33/E33,M33/E33)</f>
        <v>1.4132E-2</v>
      </c>
      <c r="O33" s="288"/>
      <c r="P33" s="289">
        <f t="shared" si="16"/>
        <v>0.11319999999999997</v>
      </c>
      <c r="Q33" s="306">
        <f>(C28-P28)/E28</f>
        <v>0.02</v>
      </c>
      <c r="R33" s="291"/>
      <c r="S33" s="292">
        <f t="shared" si="2"/>
        <v>0.28730355999999996</v>
      </c>
      <c r="T33" s="337">
        <f t="shared" si="3"/>
        <v>1.4131999999999999E-2</v>
      </c>
      <c r="U33" s="338"/>
      <c r="V33" s="295">
        <f t="shared" si="14"/>
        <v>26986.401000000002</v>
      </c>
      <c r="W33" s="296">
        <f t="shared" si="6"/>
        <v>21951.3260448</v>
      </c>
      <c r="X33" s="331">
        <f t="shared" si="7"/>
        <v>-5035.0749552000016</v>
      </c>
      <c r="Y33" s="338"/>
      <c r="Z33" s="298">
        <f t="shared" si="4"/>
        <v>1</v>
      </c>
      <c r="AA33" s="293">
        <f t="shared" si="15"/>
        <v>0.70660000000000001</v>
      </c>
      <c r="AB33" s="338"/>
      <c r="AC33" s="325">
        <f>J33/E33</f>
        <v>0.02</v>
      </c>
      <c r="AD33" s="339">
        <f>M33/E33</f>
        <v>1.4132E-2</v>
      </c>
      <c r="AE33" s="340">
        <f t="shared" si="17"/>
        <v>-0.17410355999999999</v>
      </c>
      <c r="AF33" s="341">
        <f t="shared" si="18"/>
        <v>-0.29339999999999999</v>
      </c>
      <c r="AL33" s="342"/>
      <c r="AM33" s="342"/>
      <c r="AP33" s="154">
        <f t="shared" si="26"/>
        <v>20.329999999999998</v>
      </c>
      <c r="AQ33" s="304">
        <f t="shared" si="27"/>
        <v>0.40659999999999996</v>
      </c>
      <c r="AR33" s="155">
        <f t="shared" si="21"/>
        <v>0</v>
      </c>
      <c r="AT33" s="304"/>
      <c r="AU33" s="305">
        <f t="shared" si="28"/>
        <v>17956.370043000003</v>
      </c>
      <c r="AX33" s="304">
        <f>E33*$BC$6</f>
        <v>0.59340000000000004</v>
      </c>
    </row>
    <row r="34" spans="2:50" x14ac:dyDescent="0.25">
      <c r="B34" s="203">
        <v>55</v>
      </c>
      <c r="C34" s="278">
        <f t="shared" si="30"/>
        <v>0.70660000000000001</v>
      </c>
      <c r="D34" s="333"/>
      <c r="E34" s="279">
        <f>IF(B34&gt;$B$7,B34-$B$7,0)</f>
        <v>34.67</v>
      </c>
      <c r="F34" s="280">
        <f>E34/B34</f>
        <v>0.63036363636363635</v>
      </c>
      <c r="G34" s="281">
        <f t="shared" si="29"/>
        <v>0.3696363636363636</v>
      </c>
      <c r="H34" s="282">
        <f t="shared" si="9"/>
        <v>1</v>
      </c>
      <c r="I34" s="285"/>
      <c r="J34" s="283">
        <f>E34*$J$7</f>
        <v>0.69340000000000002</v>
      </c>
      <c r="K34" s="284">
        <f>J34/E34</f>
        <v>0.02</v>
      </c>
      <c r="L34" s="285"/>
      <c r="M34" s="286">
        <f t="shared" si="24"/>
        <v>0.44541494545454546</v>
      </c>
      <c r="N34" s="329">
        <f>IF(B34&lt;$B$16,M34/E34,M34/E34)</f>
        <v>1.2847272727272726E-2</v>
      </c>
      <c r="O34" s="288"/>
      <c r="P34" s="289">
        <f t="shared" si="16"/>
        <v>1.319999999999999E-2</v>
      </c>
      <c r="Q34" s="290">
        <f t="shared" si="1"/>
        <v>6.4928676832267534E-4</v>
      </c>
      <c r="R34" s="291"/>
      <c r="S34" s="292">
        <f t="shared" si="2"/>
        <v>0.26118505454545454</v>
      </c>
      <c r="T34" s="337">
        <f t="shared" si="3"/>
        <v>1.2847272727272728E-2</v>
      </c>
      <c r="U34" s="338"/>
      <c r="V34" s="295">
        <f t="shared" si="14"/>
        <v>29878.400999999998</v>
      </c>
      <c r="W34" s="296">
        <f t="shared" si="6"/>
        <v>22706.673222545454</v>
      </c>
      <c r="X34" s="331">
        <f t="shared" si="7"/>
        <v>-7171.7277774545437</v>
      </c>
      <c r="Y34" s="338"/>
      <c r="Z34" s="298">
        <f t="shared" si="4"/>
        <v>3.5710772257747145E-2</v>
      </c>
      <c r="AA34" s="293">
        <f t="shared" si="15"/>
        <v>0.70660000000000001</v>
      </c>
      <c r="AB34" s="338"/>
      <c r="AC34" s="299">
        <f>J34/E34</f>
        <v>0.02</v>
      </c>
      <c r="AD34" s="339">
        <f>M34/E34</f>
        <v>1.2847272727272726E-2</v>
      </c>
      <c r="AE34" s="340">
        <f t="shared" si="17"/>
        <v>-0.24798505454545455</v>
      </c>
      <c r="AF34" s="341">
        <f t="shared" si="18"/>
        <v>-0.35763636363636375</v>
      </c>
      <c r="AL34" s="342"/>
    </row>
    <row r="35" spans="2:50" x14ac:dyDescent="0.25">
      <c r="B35" s="203">
        <v>60</v>
      </c>
      <c r="C35" s="278">
        <f t="shared" si="30"/>
        <v>0.70660000000000001</v>
      </c>
      <c r="D35" s="333"/>
      <c r="E35" s="279">
        <f>IF(B35&gt;$B$7,B35-$B$7,0)</f>
        <v>39.67</v>
      </c>
      <c r="F35" s="280">
        <f>E35/B35</f>
        <v>0.66116666666666668</v>
      </c>
      <c r="G35" s="281">
        <f t="shared" si="29"/>
        <v>0.33883333333333332</v>
      </c>
      <c r="H35" s="282">
        <f t="shared" si="9"/>
        <v>1</v>
      </c>
      <c r="I35" s="285"/>
      <c r="J35" s="283">
        <f>E35*$J$7</f>
        <v>0.79340000000000011</v>
      </c>
      <c r="K35" s="284">
        <f>J35/E35</f>
        <v>0.02</v>
      </c>
      <c r="L35" s="285"/>
      <c r="M35" s="286">
        <f t="shared" si="24"/>
        <v>0.46718036666666668</v>
      </c>
      <c r="N35" s="329">
        <f>IF(B35&lt;$B$16,M35/E35,M35/E35)</f>
        <v>1.1776666666666666E-2</v>
      </c>
      <c r="O35" s="288"/>
      <c r="P35" s="289">
        <f t="shared" si="16"/>
        <v>-8.6800000000000099E-2</v>
      </c>
      <c r="Q35" s="290">
        <f t="shared" si="1"/>
        <v>-4.2695523856369948E-3</v>
      </c>
      <c r="R35" s="291"/>
      <c r="S35" s="292">
        <f t="shared" si="2"/>
        <v>0.23941963333333333</v>
      </c>
      <c r="T35" s="337">
        <f t="shared" si="3"/>
        <v>1.1776666666666668E-2</v>
      </c>
      <c r="U35" s="338"/>
      <c r="V35" s="295">
        <f t="shared" si="14"/>
        <v>32770.401000000005</v>
      </c>
      <c r="W35" s="296">
        <f t="shared" si="6"/>
        <v>23336.129203999997</v>
      </c>
      <c r="X35" s="331">
        <f t="shared" si="7"/>
        <v>-9434.2717960000082</v>
      </c>
      <c r="Y35" s="338"/>
      <c r="Z35" s="298">
        <f t="shared" si="4"/>
        <v>-0.25617314313821971</v>
      </c>
      <c r="AA35" s="293">
        <f t="shared" si="15"/>
        <v>0.70660000000000001</v>
      </c>
      <c r="AB35" s="338"/>
      <c r="AC35" s="299">
        <f>J35/E35</f>
        <v>0.02</v>
      </c>
      <c r="AD35" s="339">
        <f>M35/E35</f>
        <v>1.1776666666666666E-2</v>
      </c>
      <c r="AE35" s="340">
        <f t="shared" si="17"/>
        <v>-0.32621963333333343</v>
      </c>
      <c r="AF35" s="341">
        <f t="shared" si="18"/>
        <v>-0.41116666666666668</v>
      </c>
      <c r="AL35" s="342"/>
    </row>
    <row r="36" spans="2:50" x14ac:dyDescent="0.25">
      <c r="B36" s="203">
        <v>65</v>
      </c>
      <c r="C36" s="278">
        <f t="shared" si="30"/>
        <v>0.70660000000000001</v>
      </c>
      <c r="D36" s="333"/>
      <c r="E36" s="279">
        <f>IF(B36&gt;$B$7,B36-$B$7,0)</f>
        <v>44.67</v>
      </c>
      <c r="F36" s="280">
        <f>E36/B36</f>
        <v>0.68723076923076931</v>
      </c>
      <c r="G36" s="281">
        <f t="shared" si="29"/>
        <v>0.31276923076923074</v>
      </c>
      <c r="H36" s="282">
        <f t="shared" si="9"/>
        <v>1</v>
      </c>
      <c r="I36" s="285"/>
      <c r="J36" s="283">
        <f>E36*$J$7</f>
        <v>0.89340000000000008</v>
      </c>
      <c r="K36" s="284">
        <f>J36/E36</f>
        <v>0.02</v>
      </c>
      <c r="L36" s="285"/>
      <c r="M36" s="286">
        <f t="shared" si="24"/>
        <v>0.48559726153846161</v>
      </c>
      <c r="N36" s="329">
        <f>IF(B36&lt;$B$16,M36/E36,M36/E36)</f>
        <v>1.0870769230769232E-2</v>
      </c>
      <c r="O36" s="288"/>
      <c r="P36" s="289">
        <f t="shared" si="16"/>
        <v>-0.18680000000000008</v>
      </c>
      <c r="Q36" s="290">
        <f t="shared" si="1"/>
        <v>-9.1883915395966596E-3</v>
      </c>
      <c r="R36" s="291"/>
      <c r="S36" s="292">
        <f t="shared" si="2"/>
        <v>0.22100273846153845</v>
      </c>
      <c r="T36" s="337">
        <f t="shared" si="3"/>
        <v>1.0870769230769231E-2</v>
      </c>
      <c r="U36" s="338"/>
      <c r="V36" s="295">
        <f t="shared" si="14"/>
        <v>35662.401000000005</v>
      </c>
      <c r="W36" s="296">
        <f t="shared" si="6"/>
        <v>23868.745803692309</v>
      </c>
      <c r="X36" s="331">
        <f t="shared" si="7"/>
        <v>-11793.655196307696</v>
      </c>
      <c r="Y36" s="338"/>
      <c r="Z36" s="298">
        <f t="shared" si="4"/>
        <v>-0.59724545007378282</v>
      </c>
      <c r="AA36" s="293">
        <f t="shared" si="15"/>
        <v>0.70660000000000012</v>
      </c>
      <c r="AB36" s="338"/>
      <c r="AC36" s="299">
        <f>J36/E36</f>
        <v>0.02</v>
      </c>
      <c r="AD36" s="339">
        <f>M36/E36</f>
        <v>1.0870769230769232E-2</v>
      </c>
      <c r="AE36" s="340">
        <f t="shared" si="17"/>
        <v>-0.40780273846153847</v>
      </c>
      <c r="AF36" s="341">
        <f t="shared" si="18"/>
        <v>-0.45646153846153836</v>
      </c>
      <c r="AL36" s="342"/>
    </row>
    <row r="37" spans="2:50" ht="14.4" thickBot="1" x14ac:dyDescent="0.3">
      <c r="B37" s="203">
        <v>70</v>
      </c>
      <c r="C37" s="278">
        <f t="shared" si="30"/>
        <v>0.70660000000000001</v>
      </c>
      <c r="D37" s="333"/>
      <c r="E37" s="265">
        <f>IF(B37&gt;$B$7,B37-$B$7,0)</f>
        <v>49.67</v>
      </c>
      <c r="F37" s="361">
        <f>E37/B37</f>
        <v>0.70957142857142863</v>
      </c>
      <c r="G37" s="362">
        <f t="shared" si="29"/>
        <v>0.29042857142857142</v>
      </c>
      <c r="H37" s="363">
        <f t="shared" si="9"/>
        <v>1</v>
      </c>
      <c r="I37" s="285"/>
      <c r="J37" s="283">
        <f>E37*$J$7</f>
        <v>0.99340000000000006</v>
      </c>
      <c r="K37" s="284">
        <f>J37/E37</f>
        <v>0.02</v>
      </c>
      <c r="L37" s="285"/>
      <c r="M37" s="286">
        <f t="shared" si="24"/>
        <v>0.50138317142857147</v>
      </c>
      <c r="N37" s="364">
        <f>IF(B37&lt;$B$16,M37/E37,M37/E37)</f>
        <v>1.0094285714285715E-2</v>
      </c>
      <c r="O37" s="288"/>
      <c r="P37" s="289">
        <f t="shared" si="16"/>
        <v>-0.28680000000000005</v>
      </c>
      <c r="Q37" s="290">
        <f t="shared" si="1"/>
        <v>-1.4107230693556325E-2</v>
      </c>
      <c r="R37" s="291"/>
      <c r="S37" s="292">
        <f t="shared" si="2"/>
        <v>0.20521682857142856</v>
      </c>
      <c r="T37" s="337">
        <f t="shared" si="3"/>
        <v>1.0094285714285715E-2</v>
      </c>
      <c r="U37" s="338"/>
      <c r="V37" s="295">
        <f t="shared" si="14"/>
        <v>38554.401000000005</v>
      </c>
      <c r="W37" s="296">
        <f t="shared" si="6"/>
        <v>24325.274317714287</v>
      </c>
      <c r="X37" s="331">
        <f t="shared" si="7"/>
        <v>-14229.126682285718</v>
      </c>
      <c r="Y37" s="338"/>
      <c r="Z37" s="298">
        <f t="shared" si="4"/>
        <v>-0.98750614854894281</v>
      </c>
      <c r="AA37" s="293">
        <f t="shared" si="15"/>
        <v>0.70660000000000001</v>
      </c>
      <c r="AB37" s="338"/>
      <c r="AC37" s="299">
        <f>J37/E37</f>
        <v>0.02</v>
      </c>
      <c r="AD37" s="339">
        <f>M37/E37</f>
        <v>1.0094285714285715E-2</v>
      </c>
      <c r="AE37" s="340">
        <f t="shared" si="17"/>
        <v>-0.49201682857142859</v>
      </c>
      <c r="AF37" s="341">
        <f t="shared" si="18"/>
        <v>-0.49528571428571422</v>
      </c>
      <c r="AL37" s="342"/>
    </row>
    <row r="38" spans="2:50" x14ac:dyDescent="0.25">
      <c r="B38" s="155"/>
      <c r="C38" s="333"/>
      <c r="D38" s="333"/>
      <c r="AF38" s="225"/>
    </row>
    <row r="40" spans="2:50" x14ac:dyDescent="0.25">
      <c r="J40" s="285" t="s">
        <v>20</v>
      </c>
      <c r="K40" s="285"/>
      <c r="L40" s="285"/>
      <c r="M40" s="288" t="s">
        <v>20</v>
      </c>
      <c r="N40" s="28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63F5-7252-4EB1-BE29-8BD11CEF1375}">
  <sheetPr codeName="גיליון5"/>
  <dimension ref="A1:BC40"/>
  <sheetViews>
    <sheetView rightToLeft="1" topLeftCell="L7" zoomScale="118" workbookViewId="0">
      <selection activeCell="AE19" sqref="AE19"/>
    </sheetView>
  </sheetViews>
  <sheetFormatPr defaultRowHeight="13.85" x14ac:dyDescent="0.25"/>
  <cols>
    <col min="1" max="1" width="10.5546875" style="154" customWidth="1"/>
    <col min="2" max="2" width="10.88671875" style="154" customWidth="1"/>
    <col min="3" max="3" width="9.33203125" style="154" customWidth="1"/>
    <col min="4" max="4" width="1.6640625" style="154" customWidth="1"/>
    <col min="5" max="5" width="10.21875" style="155" customWidth="1"/>
    <col min="6" max="8" width="11.5546875" style="154" customWidth="1"/>
    <col min="9" max="9" width="1.5546875" style="154" customWidth="1"/>
    <col min="10" max="10" width="10.77734375" style="154" customWidth="1"/>
    <col min="11" max="11" width="10.109375" style="154" customWidth="1"/>
    <col min="12" max="12" width="2.21875" style="154" customWidth="1"/>
    <col min="13" max="14" width="12.6640625" style="154" customWidth="1"/>
    <col min="15" max="15" width="1.5546875" style="154" customWidth="1"/>
    <col min="16" max="16" width="9.6640625" style="154" customWidth="1"/>
    <col min="17" max="17" width="10.33203125" style="154" customWidth="1"/>
    <col min="18" max="18" width="1.5546875" style="154" customWidth="1"/>
    <col min="19" max="19" width="13.109375" style="154" customWidth="1"/>
    <col min="20" max="20" width="12.88671875" style="154" customWidth="1"/>
    <col min="21" max="21" width="1.21875" style="154" customWidth="1"/>
    <col min="22" max="22" width="11" style="154" customWidth="1"/>
    <col min="23" max="23" width="10.109375" style="154" customWidth="1"/>
    <col min="24" max="24" width="8.33203125" style="154" customWidth="1"/>
    <col min="25" max="25" width="3.109375" style="154" customWidth="1"/>
    <col min="26" max="26" width="10.21875" style="154" customWidth="1"/>
    <col min="27" max="27" width="10" style="154" customWidth="1"/>
    <col min="28" max="28" width="4.109375" style="154" customWidth="1"/>
    <col min="29" max="29" width="8.109375" style="154" customWidth="1"/>
    <col min="30" max="30" width="12.77734375" style="154" customWidth="1"/>
    <col min="31" max="31" width="10.77734375" style="154" customWidth="1"/>
    <col min="32" max="32" width="12.44140625" style="154" customWidth="1"/>
    <col min="33" max="37" width="8.88671875" style="154"/>
    <col min="38" max="40" width="9.109375" style="154" customWidth="1"/>
    <col min="41" max="41" width="8.88671875" style="154"/>
    <col min="42" max="46" width="10.77734375" style="154" customWidth="1"/>
    <col min="47" max="47" width="12" style="154" customWidth="1"/>
    <col min="48" max="48" width="11" style="154" customWidth="1"/>
    <col min="49" max="49" width="9.6640625" style="154" customWidth="1"/>
    <col min="50" max="50" width="10.5546875" style="154" customWidth="1"/>
    <col min="51" max="53" width="8.88671875" style="154"/>
    <col min="54" max="54" width="11.77734375" style="154" bestFit="1" customWidth="1"/>
    <col min="55" max="16384" width="8.88671875" style="154"/>
  </cols>
  <sheetData>
    <row r="1" spans="1:55" ht="18.45" thickBot="1" x14ac:dyDescent="0.4">
      <c r="J1" s="156" t="s">
        <v>38</v>
      </c>
      <c r="K1" s="157"/>
    </row>
    <row r="2" spans="1:55" ht="18.45" thickBot="1" x14ac:dyDescent="0.4">
      <c r="B2" s="158" t="s">
        <v>39</v>
      </c>
      <c r="C2" s="159"/>
      <c r="D2" s="159"/>
      <c r="E2" s="160"/>
      <c r="F2" s="159"/>
      <c r="G2" s="161">
        <v>0.02</v>
      </c>
      <c r="H2" s="162">
        <v>35</v>
      </c>
      <c r="J2" s="163" t="s">
        <v>40</v>
      </c>
      <c r="L2" s="159"/>
      <c r="M2" s="159"/>
      <c r="N2" s="164">
        <v>42825</v>
      </c>
      <c r="P2" s="158" t="s">
        <v>41</v>
      </c>
      <c r="Q2" s="163"/>
      <c r="R2" s="163" t="s">
        <v>42</v>
      </c>
      <c r="S2" s="165" t="s">
        <v>43</v>
      </c>
      <c r="T2" s="164">
        <v>13905</v>
      </c>
      <c r="U2" s="156"/>
      <c r="V2" s="166" t="s">
        <v>44</v>
      </c>
      <c r="W2" s="167"/>
      <c r="X2" s="156"/>
      <c r="Y2" s="156"/>
      <c r="Z2" s="156" t="s">
        <v>45</v>
      </c>
      <c r="AA2" s="156"/>
      <c r="AB2" s="156"/>
    </row>
    <row r="3" spans="1:55" ht="18.45" thickBot="1" x14ac:dyDescent="0.4">
      <c r="B3" s="168" t="s">
        <v>46</v>
      </c>
      <c r="C3" s="169"/>
      <c r="D3" s="156"/>
      <c r="E3" s="170" t="s">
        <v>47</v>
      </c>
      <c r="F3" s="171"/>
      <c r="G3" s="172" t="s">
        <v>48</v>
      </c>
      <c r="H3" s="173"/>
      <c r="J3" s="174" t="s">
        <v>49</v>
      </c>
      <c r="K3" s="175"/>
      <c r="L3" s="156"/>
      <c r="M3" s="176" t="s">
        <v>50</v>
      </c>
      <c r="N3" s="177"/>
      <c r="O3" s="156"/>
      <c r="P3" s="178" t="s">
        <v>49</v>
      </c>
      <c r="Q3" s="179"/>
      <c r="R3" s="180"/>
      <c r="S3" s="181" t="s">
        <v>50</v>
      </c>
      <c r="T3" s="182"/>
      <c r="U3" s="163"/>
      <c r="V3" s="183" t="s">
        <v>51</v>
      </c>
      <c r="W3" s="182" t="s">
        <v>52</v>
      </c>
      <c r="X3" s="163" t="s">
        <v>53</v>
      </c>
      <c r="Y3" s="163"/>
      <c r="Z3" s="163"/>
      <c r="AA3" s="163"/>
      <c r="AB3" s="163"/>
      <c r="AC3" s="158"/>
      <c r="AD3" s="184"/>
      <c r="AE3" s="185" t="s">
        <v>54</v>
      </c>
      <c r="AF3" s="167"/>
      <c r="AL3" s="156"/>
    </row>
    <row r="4" spans="1:55" ht="14.4" thickBot="1" x14ac:dyDescent="0.3">
      <c r="A4" s="154" t="s">
        <v>20</v>
      </c>
      <c r="B4" s="186">
        <v>1</v>
      </c>
      <c r="C4" s="187">
        <v>2</v>
      </c>
      <c r="D4" s="188"/>
      <c r="E4" s="189">
        <v>3</v>
      </c>
      <c r="F4" s="190">
        <v>4</v>
      </c>
      <c r="G4" s="191">
        <v>5</v>
      </c>
      <c r="H4" s="192">
        <v>6</v>
      </c>
      <c r="I4" s="188"/>
      <c r="J4" s="193">
        <v>5</v>
      </c>
      <c r="K4" s="194">
        <v>6</v>
      </c>
      <c r="L4" s="188"/>
      <c r="M4" s="195">
        <v>7</v>
      </c>
      <c r="N4" s="192">
        <v>8</v>
      </c>
      <c r="O4" s="188"/>
      <c r="P4" s="196">
        <v>9</v>
      </c>
      <c r="Q4" s="195">
        <v>10</v>
      </c>
      <c r="R4" s="188"/>
      <c r="S4" s="197">
        <v>11</v>
      </c>
      <c r="T4" s="188">
        <v>12</v>
      </c>
      <c r="U4" s="188"/>
      <c r="V4" s="198">
        <v>13</v>
      </c>
      <c r="W4" s="199">
        <v>14</v>
      </c>
      <c r="X4" s="188">
        <v>15</v>
      </c>
      <c r="Y4" s="188"/>
      <c r="Z4" s="200">
        <v>15</v>
      </c>
      <c r="AA4" s="200">
        <v>16</v>
      </c>
      <c r="AB4" s="188"/>
      <c r="AC4" s="201">
        <v>7</v>
      </c>
      <c r="AD4" s="193">
        <v>8</v>
      </c>
      <c r="AE4" s="193">
        <v>9</v>
      </c>
      <c r="AF4" s="202">
        <v>10</v>
      </c>
      <c r="AM4" s="188"/>
    </row>
    <row r="5" spans="1:55" x14ac:dyDescent="0.25">
      <c r="B5" s="203" t="s">
        <v>23</v>
      </c>
      <c r="C5" s="204" t="s">
        <v>55</v>
      </c>
      <c r="D5" s="205"/>
      <c r="E5" s="206" t="s">
        <v>56</v>
      </c>
      <c r="F5" s="207" t="s">
        <v>57</v>
      </c>
      <c r="G5" s="208" t="s">
        <v>57</v>
      </c>
      <c r="H5" s="209" t="s">
        <v>58</v>
      </c>
      <c r="I5" s="210"/>
      <c r="J5" s="211" t="s">
        <v>59</v>
      </c>
      <c r="K5" s="212" t="s">
        <v>60</v>
      </c>
      <c r="L5" s="213"/>
      <c r="M5" s="214" t="s">
        <v>61</v>
      </c>
      <c r="N5" s="215" t="s">
        <v>55</v>
      </c>
      <c r="O5" s="216"/>
      <c r="P5" s="217" t="s">
        <v>62</v>
      </c>
      <c r="Q5" s="212" t="s">
        <v>60</v>
      </c>
      <c r="R5" s="216"/>
      <c r="S5" s="218" t="s">
        <v>63</v>
      </c>
      <c r="T5" s="215" t="s">
        <v>55</v>
      </c>
      <c r="U5" s="200"/>
      <c r="V5" s="219"/>
      <c r="W5" s="215"/>
      <c r="X5" s="154" t="s">
        <v>64</v>
      </c>
      <c r="Y5" s="220"/>
      <c r="Z5" s="200"/>
      <c r="AA5" s="200"/>
      <c r="AB5" s="200"/>
      <c r="AC5" s="221" t="s">
        <v>65</v>
      </c>
      <c r="AD5" s="222"/>
      <c r="AE5" s="223" t="s">
        <v>66</v>
      </c>
      <c r="AF5" s="224" t="s">
        <v>67</v>
      </c>
      <c r="AP5" s="154" t="s">
        <v>68</v>
      </c>
      <c r="AQ5" s="210" t="s">
        <v>69</v>
      </c>
      <c r="AR5" s="154" t="s">
        <v>23</v>
      </c>
      <c r="AT5" s="225" t="s">
        <v>70</v>
      </c>
      <c r="AU5" s="154" t="s">
        <v>71</v>
      </c>
      <c r="AV5" s="154" t="s">
        <v>15</v>
      </c>
      <c r="AW5" s="154" t="s">
        <v>72</v>
      </c>
      <c r="AX5" s="226" t="s">
        <v>73</v>
      </c>
      <c r="AZ5" s="154" t="s">
        <v>72</v>
      </c>
      <c r="BA5" s="154" t="s">
        <v>10</v>
      </c>
      <c r="BB5" s="154" t="s">
        <v>5</v>
      </c>
      <c r="BC5" s="154" t="s">
        <v>23</v>
      </c>
    </row>
    <row r="6" spans="1:55" ht="14.4" thickBot="1" x14ac:dyDescent="0.3">
      <c r="B6" s="227" t="s">
        <v>74</v>
      </c>
      <c r="C6" s="228" t="s">
        <v>75</v>
      </c>
      <c r="D6" s="220"/>
      <c r="E6" s="229" t="s">
        <v>76</v>
      </c>
      <c r="F6" s="230" t="s">
        <v>77</v>
      </c>
      <c r="G6" s="231" t="s">
        <v>78</v>
      </c>
      <c r="H6" s="232" t="s">
        <v>79</v>
      </c>
      <c r="I6" s="210"/>
      <c r="J6" s="233" t="s">
        <v>80</v>
      </c>
      <c r="K6" s="234" t="s">
        <v>81</v>
      </c>
      <c r="L6" s="220"/>
      <c r="M6" s="235" t="s">
        <v>82</v>
      </c>
      <c r="N6" s="236" t="s">
        <v>81</v>
      </c>
      <c r="O6" s="237"/>
      <c r="P6" s="238" t="s">
        <v>83</v>
      </c>
      <c r="Q6" s="234" t="s">
        <v>81</v>
      </c>
      <c r="R6" s="237"/>
      <c r="S6" s="239" t="s">
        <v>21</v>
      </c>
      <c r="T6" s="236" t="s">
        <v>81</v>
      </c>
      <c r="U6" s="220"/>
      <c r="V6" s="219"/>
      <c r="W6" s="236"/>
      <c r="X6" s="240" t="s">
        <v>4</v>
      </c>
      <c r="Z6" s="220"/>
      <c r="AA6" s="220"/>
      <c r="AB6" s="220"/>
      <c r="AC6" s="241" t="s">
        <v>84</v>
      </c>
      <c r="AD6" s="242"/>
      <c r="AE6" s="155" t="s">
        <v>85</v>
      </c>
      <c r="AF6" s="243" t="s">
        <v>86</v>
      </c>
      <c r="AL6" s="244"/>
      <c r="AM6" s="225"/>
      <c r="AP6" s="245">
        <v>10000</v>
      </c>
      <c r="AQ6" s="245" t="s">
        <v>87</v>
      </c>
      <c r="AR6" s="188" t="s">
        <v>2</v>
      </c>
      <c r="AT6" s="246" t="s">
        <v>88</v>
      </c>
      <c r="AU6" s="246" t="s">
        <v>82</v>
      </c>
      <c r="BC6" s="225">
        <v>0.02</v>
      </c>
    </row>
    <row r="7" spans="1:55" ht="14.4" customHeight="1" thickBot="1" x14ac:dyDescent="0.4">
      <c r="B7" s="247">
        <v>20.329999999999998</v>
      </c>
      <c r="C7" s="248">
        <v>0.02</v>
      </c>
      <c r="D7" s="220"/>
      <c r="E7" s="164">
        <v>42825</v>
      </c>
      <c r="F7" s="249" t="s">
        <v>87</v>
      </c>
      <c r="G7" s="250" t="s">
        <v>87</v>
      </c>
      <c r="H7" s="251" t="s">
        <v>89</v>
      </c>
      <c r="I7" s="245"/>
      <c r="J7" s="252">
        <v>0.02</v>
      </c>
      <c r="K7" s="253" t="s">
        <v>90</v>
      </c>
      <c r="L7" s="254"/>
      <c r="M7" s="255" t="s">
        <v>91</v>
      </c>
      <c r="N7" s="256" t="s">
        <v>90</v>
      </c>
      <c r="O7" s="188"/>
      <c r="P7" s="257">
        <v>0.02</v>
      </c>
      <c r="Q7" s="253" t="s">
        <v>90</v>
      </c>
      <c r="R7" s="258"/>
      <c r="S7" s="259" t="s">
        <v>91</v>
      </c>
      <c r="T7" s="256" t="s">
        <v>90</v>
      </c>
      <c r="U7" s="254"/>
      <c r="V7" s="260" t="s">
        <v>92</v>
      </c>
      <c r="W7" s="236" t="s">
        <v>92</v>
      </c>
      <c r="X7" s="261" t="s">
        <v>93</v>
      </c>
      <c r="Y7" s="155"/>
      <c r="Z7" s="254"/>
      <c r="AA7" s="254"/>
      <c r="AB7" s="254"/>
      <c r="AC7" s="201" t="s">
        <v>94</v>
      </c>
      <c r="AD7" s="191" t="s">
        <v>91</v>
      </c>
      <c r="AE7" s="246" t="s">
        <v>95</v>
      </c>
      <c r="AF7" s="262" t="s">
        <v>96</v>
      </c>
      <c r="AL7" s="244"/>
      <c r="AM7" s="244"/>
      <c r="AP7" s="245"/>
      <c r="AQ7" s="245"/>
      <c r="AR7" s="188"/>
      <c r="AT7" s="246"/>
      <c r="AU7" s="246"/>
      <c r="BC7" s="225"/>
    </row>
    <row r="8" spans="1:55" x14ac:dyDescent="0.25">
      <c r="B8" s="247" t="s">
        <v>97</v>
      </c>
      <c r="C8" s="263">
        <v>0.7</v>
      </c>
      <c r="D8" s="264"/>
      <c r="E8" s="265"/>
      <c r="F8" s="266" t="s">
        <v>98</v>
      </c>
      <c r="G8" s="267" t="s">
        <v>99</v>
      </c>
      <c r="H8" s="268" t="s">
        <v>100</v>
      </c>
      <c r="I8" s="269"/>
      <c r="J8" s="270" t="s">
        <v>101</v>
      </c>
      <c r="K8" s="266" t="s">
        <v>102</v>
      </c>
      <c r="L8" s="271"/>
      <c r="M8" s="272" t="s">
        <v>103</v>
      </c>
      <c r="N8" s="273" t="s">
        <v>104</v>
      </c>
      <c r="O8" s="273"/>
      <c r="P8" s="273" t="s">
        <v>105</v>
      </c>
      <c r="Q8" s="273" t="s">
        <v>106</v>
      </c>
      <c r="R8" s="271"/>
      <c r="S8" s="266" t="s">
        <v>103</v>
      </c>
      <c r="T8" s="271"/>
      <c r="U8" s="271"/>
      <c r="V8" s="242"/>
      <c r="W8" s="273"/>
      <c r="Y8" s="271"/>
      <c r="Z8" s="271"/>
      <c r="AA8" s="271"/>
      <c r="AB8" s="271"/>
      <c r="AC8" s="274" t="s">
        <v>107</v>
      </c>
      <c r="AD8" s="275" t="s">
        <v>108</v>
      </c>
      <c r="AE8" s="271" t="s">
        <v>109</v>
      </c>
      <c r="AF8" s="275" t="s">
        <v>110</v>
      </c>
      <c r="AL8" s="276"/>
      <c r="AM8" s="244"/>
      <c r="AP8" s="277">
        <v>20.329999999999998</v>
      </c>
      <c r="AQ8" s="245"/>
      <c r="AR8" s="188"/>
      <c r="AT8" s="246"/>
      <c r="AU8" s="246"/>
      <c r="BC8" s="225"/>
    </row>
    <row r="9" spans="1:55" x14ac:dyDescent="0.25">
      <c r="B9" s="203">
        <v>20.329999999999998</v>
      </c>
      <c r="C9" s="278">
        <f>IF(B9&lt;$H$2,B9*$C$7,(B9-(B9-$H$2))*$C$7)</f>
        <v>0.40659999999999996</v>
      </c>
      <c r="D9" s="264"/>
      <c r="E9" s="279">
        <f t="shared" ref="E9:E37" si="0">IF(B9&gt;$B$7,B9-$B$7,0)</f>
        <v>0</v>
      </c>
      <c r="F9" s="280">
        <f t="shared" ref="F9:F37" si="1">E9/B9</f>
        <v>0</v>
      </c>
      <c r="G9" s="281">
        <f t="shared" ref="G9:G24" si="2">IF(E9&gt;0,$B$7/B9,100%)</f>
        <v>1</v>
      </c>
      <c r="H9" s="282">
        <f>G9+F9</f>
        <v>1</v>
      </c>
      <c r="I9" s="269"/>
      <c r="J9" s="283">
        <f t="shared" ref="J9:J37" si="3">E9*$J$7</f>
        <v>0</v>
      </c>
      <c r="K9" s="284">
        <f>IF(J9=0,0,J9/E9)</f>
        <v>0</v>
      </c>
      <c r="L9" s="285"/>
      <c r="M9" s="286">
        <f t="shared" ref="M9:M17" si="4">F9*C9</f>
        <v>0</v>
      </c>
      <c r="N9" s="287">
        <f t="shared" ref="N9:N15" si="5">IF(AND(B9&lt;$B$16,M9&gt;0),M9/E9,M9/($B$7*G9))</f>
        <v>0</v>
      </c>
      <c r="O9" s="288"/>
      <c r="P9" s="289">
        <f>IF(C9&lt;$C$8,$B$7*$C$7,$C$8-F9)</f>
        <v>0.40659999999999996</v>
      </c>
      <c r="Q9" s="290">
        <f t="shared" ref="Q9:Q37" si="6">P9/$B$7</f>
        <v>0.02</v>
      </c>
      <c r="R9" s="291"/>
      <c r="S9" s="292">
        <f t="shared" ref="S9:S37" si="7">C9*G9</f>
        <v>0.40659999999999996</v>
      </c>
      <c r="T9" s="293">
        <f t="shared" ref="T9:T37" si="8">S9/$B$7</f>
        <v>0.02</v>
      </c>
      <c r="U9" s="294"/>
      <c r="V9" s="295">
        <f>($N$2*J9)+($T$2*P9)</f>
        <v>5653.7729999999992</v>
      </c>
      <c r="W9" s="296">
        <f>($N$2*M9)+($T$2*S9)</f>
        <v>5653.7729999999992</v>
      </c>
      <c r="X9" s="297">
        <f>W9-V9</f>
        <v>0</v>
      </c>
      <c r="Y9" s="226"/>
      <c r="Z9" s="298">
        <f t="shared" ref="Z9:Z37" si="9">Q9*B9</f>
        <v>0.40659999999999996</v>
      </c>
      <c r="AA9" s="293">
        <f>B9*T9</f>
        <v>0.40659999999999996</v>
      </c>
      <c r="AB9" s="294"/>
      <c r="AC9" s="299" t="e">
        <f>J9/E9</f>
        <v>#DIV/0!</v>
      </c>
      <c r="AD9" s="299" t="e">
        <f>M9/E9</f>
        <v>#DIV/0!</v>
      </c>
      <c r="AE9" s="300">
        <f>J9-M9</f>
        <v>0</v>
      </c>
      <c r="AF9" s="301" t="e">
        <f t="shared" ref="AF9:AF16" si="10">((AD9/$C$7)-1)*-1</f>
        <v>#DIV/0!</v>
      </c>
      <c r="AL9" s="276"/>
      <c r="AM9" s="244"/>
      <c r="AP9" s="277"/>
      <c r="AQ9" s="245"/>
      <c r="AR9" s="188"/>
      <c r="AT9" s="246"/>
      <c r="AU9" s="246"/>
      <c r="BC9" s="225"/>
    </row>
    <row r="10" spans="1:55" x14ac:dyDescent="0.25">
      <c r="B10" s="203">
        <v>25</v>
      </c>
      <c r="C10" s="278">
        <f>IF(B10&lt;$H$2,B10*$C$7,(B10-(B10-$H$2))*$C$7)</f>
        <v>0.5</v>
      </c>
      <c r="D10" s="264"/>
      <c r="E10" s="279">
        <f t="shared" si="0"/>
        <v>4.6700000000000017</v>
      </c>
      <c r="F10" s="280">
        <f t="shared" si="1"/>
        <v>0.18680000000000008</v>
      </c>
      <c r="G10" s="281">
        <f t="shared" si="2"/>
        <v>0.81319999999999992</v>
      </c>
      <c r="H10" s="282">
        <f>G10+F10</f>
        <v>1</v>
      </c>
      <c r="I10" s="269"/>
      <c r="J10" s="283">
        <f t="shared" si="3"/>
        <v>9.3400000000000039E-2</v>
      </c>
      <c r="K10" s="284">
        <f>IF(J10=0,0,J10/E10)</f>
        <v>0.02</v>
      </c>
      <c r="L10" s="285"/>
      <c r="M10" s="286">
        <f>F10*C10</f>
        <v>9.3400000000000039E-2</v>
      </c>
      <c r="N10" s="287">
        <f t="shared" si="5"/>
        <v>0.02</v>
      </c>
      <c r="O10" s="288"/>
      <c r="P10" s="289">
        <f>IF(C10&lt;$C$8,$B$7*$C$7,$C$8-F10)</f>
        <v>0.40659999999999996</v>
      </c>
      <c r="Q10" s="290">
        <f t="shared" si="6"/>
        <v>0.02</v>
      </c>
      <c r="R10" s="291"/>
      <c r="S10" s="292">
        <f>C10*G10</f>
        <v>0.40659999999999996</v>
      </c>
      <c r="T10" s="293">
        <f t="shared" si="8"/>
        <v>0.02</v>
      </c>
      <c r="U10" s="294"/>
      <c r="V10" s="295">
        <f>($N$2*J10)+($T$2*P10)</f>
        <v>9653.6280000000006</v>
      </c>
      <c r="W10" s="296">
        <f t="shared" ref="W10:W37" si="11">($N$2*M10)+($T$2*S10)</f>
        <v>9653.6280000000006</v>
      </c>
      <c r="X10" s="297">
        <f t="shared" ref="X10:X37" si="12">W10-V10</f>
        <v>0</v>
      </c>
      <c r="Y10" s="294"/>
      <c r="Z10" s="298">
        <f t="shared" si="9"/>
        <v>0.5</v>
      </c>
      <c r="AA10" s="293">
        <f>B10*T10</f>
        <v>0.5</v>
      </c>
      <c r="AB10" s="294"/>
      <c r="AC10" s="299"/>
      <c r="AD10" s="299"/>
      <c r="AE10" s="300"/>
      <c r="AF10" s="301"/>
      <c r="AL10" s="276"/>
      <c r="AM10" s="244"/>
      <c r="AP10" s="277"/>
      <c r="AQ10" s="245"/>
      <c r="AR10" s="188"/>
      <c r="AT10" s="246"/>
      <c r="AU10" s="246"/>
      <c r="BC10" s="225"/>
    </row>
    <row r="11" spans="1:55" x14ac:dyDescent="0.25">
      <c r="B11" s="203">
        <v>30.33</v>
      </c>
      <c r="C11" s="278">
        <f t="shared" ref="C11:C17" si="13">IF(B11&lt;$B$16,B11*$C$7,(B11-(B11-$B$16))*$C$7)</f>
        <v>0.60660000000000003</v>
      </c>
      <c r="D11" s="288"/>
      <c r="E11" s="279">
        <f t="shared" si="0"/>
        <v>10</v>
      </c>
      <c r="F11" s="280">
        <f t="shared" si="1"/>
        <v>0.32970656116056712</v>
      </c>
      <c r="G11" s="281">
        <f t="shared" si="2"/>
        <v>0.67029343883943293</v>
      </c>
      <c r="H11" s="282">
        <f t="shared" ref="H11:H37" si="14">G11+F11</f>
        <v>1</v>
      </c>
      <c r="I11" s="285"/>
      <c r="J11" s="302">
        <f t="shared" si="3"/>
        <v>0.2</v>
      </c>
      <c r="K11" s="284">
        <f t="shared" ref="K11:K37" si="15">J11/E11</f>
        <v>0.02</v>
      </c>
      <c r="L11" s="285"/>
      <c r="M11" s="286">
        <f>F11*C11</f>
        <v>0.20000000000000004</v>
      </c>
      <c r="N11" s="287">
        <f t="shared" si="5"/>
        <v>2.0000000000000004E-2</v>
      </c>
      <c r="O11" s="288"/>
      <c r="P11" s="289">
        <f>IF(C11&lt;$C$8,$B$7*$C$7,$C$8-F11)</f>
        <v>0.40659999999999996</v>
      </c>
      <c r="Q11" s="290">
        <f t="shared" si="6"/>
        <v>0.02</v>
      </c>
      <c r="R11" s="291"/>
      <c r="S11" s="292">
        <f>C11*G11</f>
        <v>0.40660000000000002</v>
      </c>
      <c r="T11" s="293">
        <f t="shared" si="8"/>
        <v>2.0000000000000004E-2</v>
      </c>
      <c r="U11" s="294"/>
      <c r="V11" s="295">
        <f>($N$2*J11)+($T$2*P11)</f>
        <v>14218.772999999999</v>
      </c>
      <c r="W11" s="296">
        <f t="shared" si="11"/>
        <v>14218.773000000001</v>
      </c>
      <c r="X11" s="297">
        <f t="shared" si="12"/>
        <v>0</v>
      </c>
      <c r="Y11" s="294"/>
      <c r="Z11" s="298">
        <f t="shared" si="9"/>
        <v>0.60660000000000003</v>
      </c>
      <c r="AA11" s="293">
        <f>B11*T11</f>
        <v>0.60660000000000014</v>
      </c>
      <c r="AB11" s="294"/>
      <c r="AC11" s="299">
        <f t="shared" ref="AC11:AC16" si="16">J11/E11</f>
        <v>0.02</v>
      </c>
      <c r="AD11" s="299">
        <f t="shared" ref="AD11:AD16" si="17">M11/E11</f>
        <v>2.0000000000000004E-2</v>
      </c>
      <c r="AE11" s="300">
        <f t="shared" ref="AE11:AE16" si="18">J11-M11</f>
        <v>0</v>
      </c>
      <c r="AF11" s="301">
        <f t="shared" si="10"/>
        <v>-2.2204460492503131E-16</v>
      </c>
      <c r="AL11" s="303"/>
      <c r="AM11" s="303"/>
      <c r="AP11" s="154">
        <v>20.329999999999998</v>
      </c>
      <c r="AQ11" s="304">
        <f>AP11/B11</f>
        <v>0.67029343883943293</v>
      </c>
      <c r="AR11" s="155">
        <f>AV11+AT11</f>
        <v>0</v>
      </c>
      <c r="AT11" s="304"/>
      <c r="AU11" s="305">
        <f xml:space="preserve"> $E$7*M11</f>
        <v>8565.0000000000018</v>
      </c>
      <c r="AW11" s="210">
        <f>E7*M11</f>
        <v>8565.0000000000018</v>
      </c>
      <c r="AZ11" s="210">
        <f>AP6*BA11</f>
        <v>4065.9999999999995</v>
      </c>
      <c r="BA11" s="304">
        <f>AP11*$BC$6</f>
        <v>0.40659999999999996</v>
      </c>
      <c r="BC11" s="154">
        <v>30</v>
      </c>
    </row>
    <row r="12" spans="1:55" x14ac:dyDescent="0.25">
      <c r="B12" s="203">
        <f>B11+1</f>
        <v>31.33</v>
      </c>
      <c r="C12" s="278">
        <f t="shared" si="13"/>
        <v>0.62659999999999993</v>
      </c>
      <c r="D12" s="288"/>
      <c r="E12" s="279">
        <f t="shared" si="0"/>
        <v>11</v>
      </c>
      <c r="F12" s="280">
        <f t="shared" si="1"/>
        <v>0.35110118097669968</v>
      </c>
      <c r="G12" s="281">
        <f t="shared" si="2"/>
        <v>0.64889881902330038</v>
      </c>
      <c r="H12" s="282">
        <f t="shared" si="14"/>
        <v>1</v>
      </c>
      <c r="I12" s="285"/>
      <c r="J12" s="302">
        <f t="shared" si="3"/>
        <v>0.22</v>
      </c>
      <c r="K12" s="284">
        <f t="shared" si="15"/>
        <v>0.02</v>
      </c>
      <c r="L12" s="285"/>
      <c r="M12" s="286">
        <f>F12*C12</f>
        <v>0.22</v>
      </c>
      <c r="N12" s="287">
        <f t="shared" si="5"/>
        <v>0.02</v>
      </c>
      <c r="O12" s="288"/>
      <c r="P12" s="289">
        <f>IF(C12&lt;$C$8,$B$7*$C$7,$C$8-F12)</f>
        <v>0.40659999999999996</v>
      </c>
      <c r="Q12" s="290">
        <f t="shared" si="6"/>
        <v>0.02</v>
      </c>
      <c r="R12" s="291"/>
      <c r="S12" s="292">
        <f>C12*G12</f>
        <v>0.40659999999999996</v>
      </c>
      <c r="T12" s="293">
        <f t="shared" si="8"/>
        <v>0.02</v>
      </c>
      <c r="U12" s="294"/>
      <c r="V12" s="295">
        <f>($N$2*J12)+($T$2*P12)</f>
        <v>15075.272999999999</v>
      </c>
      <c r="W12" s="296">
        <f t="shared" si="11"/>
        <v>15075.272999999999</v>
      </c>
      <c r="X12" s="297">
        <f t="shared" si="12"/>
        <v>0</v>
      </c>
      <c r="Y12" s="294"/>
      <c r="Z12" s="298">
        <f t="shared" si="9"/>
        <v>0.62659999999999993</v>
      </c>
      <c r="AA12" s="293">
        <f>B12*T12</f>
        <v>0.62659999999999993</v>
      </c>
      <c r="AB12" s="294"/>
      <c r="AC12" s="299">
        <f t="shared" si="16"/>
        <v>0.02</v>
      </c>
      <c r="AD12" s="299">
        <f t="shared" si="17"/>
        <v>0.02</v>
      </c>
      <c r="AE12" s="300">
        <f t="shared" si="18"/>
        <v>0</v>
      </c>
      <c r="AF12" s="301">
        <f t="shared" si="10"/>
        <v>0</v>
      </c>
      <c r="AL12" s="303"/>
      <c r="AM12" s="303"/>
      <c r="AP12" s="154">
        <f>+$AP$11</f>
        <v>20.329999999999998</v>
      </c>
      <c r="AQ12" s="304">
        <f>AP12/B12</f>
        <v>0.64889881902330038</v>
      </c>
      <c r="AR12" s="155">
        <f>AV12+AT12</f>
        <v>1.9999999999999962E-2</v>
      </c>
      <c r="AT12" s="304">
        <f>M12-M11</f>
        <v>1.9999999999999962E-2</v>
      </c>
      <c r="AU12" s="305">
        <f xml:space="preserve"> $E$7*M12</f>
        <v>9421.5</v>
      </c>
      <c r="AX12" s="304">
        <f>E12*$BC$6</f>
        <v>0.22</v>
      </c>
      <c r="AZ12" s="210">
        <f t="shared" ref="AZ12:AZ14" si="19">BA11*BA12</f>
        <v>0.16532355999999998</v>
      </c>
      <c r="BA12" s="304">
        <f>AP12*$BC$6</f>
        <v>0.40659999999999996</v>
      </c>
      <c r="BC12" s="154">
        <v>31</v>
      </c>
    </row>
    <row r="13" spans="1:55" x14ac:dyDescent="0.25">
      <c r="B13" s="203">
        <f t="shared" ref="B13:B15" si="20">B12+1</f>
        <v>32.33</v>
      </c>
      <c r="C13" s="278">
        <f t="shared" si="13"/>
        <v>0.64659999999999995</v>
      </c>
      <c r="D13" s="288"/>
      <c r="E13" s="279">
        <f t="shared" si="0"/>
        <v>12</v>
      </c>
      <c r="F13" s="280">
        <f t="shared" si="1"/>
        <v>0.3711722858026601</v>
      </c>
      <c r="G13" s="281">
        <f t="shared" si="2"/>
        <v>0.62882771419733996</v>
      </c>
      <c r="H13" s="282">
        <f t="shared" si="14"/>
        <v>1</v>
      </c>
      <c r="I13" s="285"/>
      <c r="J13" s="283">
        <f t="shared" si="3"/>
        <v>0.24</v>
      </c>
      <c r="K13" s="284">
        <f t="shared" si="15"/>
        <v>0.02</v>
      </c>
      <c r="L13" s="285"/>
      <c r="M13" s="286">
        <f t="shared" si="4"/>
        <v>0.24</v>
      </c>
      <c r="N13" s="287">
        <f t="shared" si="5"/>
        <v>0.02</v>
      </c>
      <c r="O13" s="288"/>
      <c r="P13" s="289">
        <f t="shared" ref="P13:P15" si="21">IF(C13&lt;$C$8,$B$7*$C$7,$C$8-F13)</f>
        <v>0.40659999999999996</v>
      </c>
      <c r="Q13" s="306">
        <f t="shared" si="6"/>
        <v>0.02</v>
      </c>
      <c r="R13" s="291"/>
      <c r="S13" s="292">
        <f t="shared" si="7"/>
        <v>0.40659999999999996</v>
      </c>
      <c r="T13" s="293">
        <f t="shared" si="8"/>
        <v>0.02</v>
      </c>
      <c r="U13" s="294"/>
      <c r="V13" s="295">
        <f t="shared" ref="V13:V37" si="22">($N$2*J13)+($T$2*P13)</f>
        <v>15931.772999999999</v>
      </c>
      <c r="W13" s="296">
        <f t="shared" si="11"/>
        <v>15931.772999999999</v>
      </c>
      <c r="X13" s="297">
        <f t="shared" si="12"/>
        <v>0</v>
      </c>
      <c r="Y13" s="294"/>
      <c r="Z13" s="298">
        <f t="shared" si="9"/>
        <v>0.64659999999999995</v>
      </c>
      <c r="AA13" s="293">
        <f>B13*T13</f>
        <v>0.64659999999999995</v>
      </c>
      <c r="AB13" s="294"/>
      <c r="AC13" s="299">
        <f t="shared" si="16"/>
        <v>0.02</v>
      </c>
      <c r="AD13" s="299">
        <f t="shared" si="17"/>
        <v>0.02</v>
      </c>
      <c r="AE13" s="300">
        <f t="shared" si="18"/>
        <v>0</v>
      </c>
      <c r="AF13" s="301">
        <f t="shared" si="10"/>
        <v>0</v>
      </c>
      <c r="AL13" s="303"/>
      <c r="AM13" s="303"/>
      <c r="AP13" s="154">
        <f>+$AP$11</f>
        <v>20.329999999999998</v>
      </c>
      <c r="AQ13" s="304">
        <f>AP13/B13</f>
        <v>0.62882771419733996</v>
      </c>
      <c r="AR13" s="155">
        <f>AV13+AT13</f>
        <v>1.999999999999999E-2</v>
      </c>
      <c r="AT13" s="304">
        <f>M13-M12</f>
        <v>1.999999999999999E-2</v>
      </c>
      <c r="AU13" s="305">
        <f xml:space="preserve"> $E$7*M13</f>
        <v>10278</v>
      </c>
      <c r="AX13" s="304">
        <f>E13*$BC$6</f>
        <v>0.24</v>
      </c>
      <c r="AZ13" s="210">
        <f t="shared" si="19"/>
        <v>0.16532355999999998</v>
      </c>
      <c r="BA13" s="304">
        <f>AP13*$BC$6</f>
        <v>0.40659999999999996</v>
      </c>
      <c r="BC13" s="154">
        <v>35</v>
      </c>
    </row>
    <row r="14" spans="1:55" x14ac:dyDescent="0.25">
      <c r="B14" s="203">
        <f t="shared" si="20"/>
        <v>33.33</v>
      </c>
      <c r="C14" s="278">
        <f t="shared" si="13"/>
        <v>0.66659999999999997</v>
      </c>
      <c r="D14" s="288"/>
      <c r="E14" s="279">
        <f t="shared" si="0"/>
        <v>13</v>
      </c>
      <c r="F14" s="280">
        <f t="shared" si="1"/>
        <v>0.39003900390039004</v>
      </c>
      <c r="G14" s="281">
        <f t="shared" si="2"/>
        <v>0.60996099609960996</v>
      </c>
      <c r="H14" s="282">
        <f t="shared" si="14"/>
        <v>1</v>
      </c>
      <c r="I14" s="285"/>
      <c r="J14" s="283">
        <f t="shared" si="3"/>
        <v>0.26</v>
      </c>
      <c r="K14" s="284">
        <f t="shared" si="15"/>
        <v>0.02</v>
      </c>
      <c r="L14" s="285"/>
      <c r="M14" s="286">
        <f t="shared" si="4"/>
        <v>0.26</v>
      </c>
      <c r="N14" s="287">
        <f t="shared" si="5"/>
        <v>0.02</v>
      </c>
      <c r="O14" s="288"/>
      <c r="P14" s="289">
        <f t="shared" si="21"/>
        <v>0.40659999999999996</v>
      </c>
      <c r="Q14" s="290">
        <f t="shared" si="6"/>
        <v>0.02</v>
      </c>
      <c r="R14" s="291"/>
      <c r="S14" s="292">
        <f t="shared" si="7"/>
        <v>0.40659999999999996</v>
      </c>
      <c r="T14" s="293">
        <f t="shared" si="8"/>
        <v>0.02</v>
      </c>
      <c r="U14" s="294"/>
      <c r="V14" s="295">
        <f t="shared" si="22"/>
        <v>16788.273000000001</v>
      </c>
      <c r="W14" s="296">
        <f t="shared" si="11"/>
        <v>16788.273000000001</v>
      </c>
      <c r="X14" s="297">
        <f t="shared" si="12"/>
        <v>0</v>
      </c>
      <c r="Y14" s="294"/>
      <c r="Z14" s="298">
        <f t="shared" si="9"/>
        <v>0.66659999999999997</v>
      </c>
      <c r="AA14" s="293">
        <f t="shared" ref="AA14:AA37" si="23">S14+M14</f>
        <v>0.66659999999999997</v>
      </c>
      <c r="AB14" s="294"/>
      <c r="AC14" s="299">
        <f t="shared" si="16"/>
        <v>0.02</v>
      </c>
      <c r="AD14" s="299">
        <f t="shared" si="17"/>
        <v>0.02</v>
      </c>
      <c r="AE14" s="300">
        <f t="shared" si="18"/>
        <v>0</v>
      </c>
      <c r="AF14" s="301">
        <f t="shared" si="10"/>
        <v>0</v>
      </c>
      <c r="AL14" s="307"/>
      <c r="AM14" s="307"/>
      <c r="AP14" s="154">
        <f>+$AP$11</f>
        <v>20.329999999999998</v>
      </c>
      <c r="AQ14" s="304">
        <f>AP14/B14</f>
        <v>0.60996099609960996</v>
      </c>
      <c r="AR14" s="155">
        <f>AV14+AT14</f>
        <v>2.0000000000000018E-2</v>
      </c>
      <c r="AT14" s="304">
        <f>M14-M13</f>
        <v>2.0000000000000018E-2</v>
      </c>
      <c r="AU14" s="305">
        <f xml:space="preserve"> $E$7*M14</f>
        <v>11134.5</v>
      </c>
      <c r="AX14" s="304">
        <f>E14*$BC$6</f>
        <v>0.26</v>
      </c>
      <c r="AZ14" s="210">
        <f t="shared" si="19"/>
        <v>0.16532355999999998</v>
      </c>
      <c r="BA14" s="304">
        <f>AP14*$BC$6</f>
        <v>0.40659999999999996</v>
      </c>
      <c r="BC14" s="154">
        <v>36</v>
      </c>
    </row>
    <row r="15" spans="1:55" ht="14.4" thickBot="1" x14ac:dyDescent="0.3">
      <c r="B15" s="308">
        <f t="shared" si="20"/>
        <v>34.33</v>
      </c>
      <c r="C15" s="309">
        <f t="shared" si="13"/>
        <v>0.68659999999999999</v>
      </c>
      <c r="D15" s="288"/>
      <c r="E15" s="279">
        <f t="shared" si="0"/>
        <v>14</v>
      </c>
      <c r="F15" s="280">
        <f t="shared" si="1"/>
        <v>0.40780658316341395</v>
      </c>
      <c r="G15" s="281">
        <f t="shared" si="2"/>
        <v>0.59219341683658611</v>
      </c>
      <c r="H15" s="282">
        <f t="shared" si="14"/>
        <v>1</v>
      </c>
      <c r="I15" s="285"/>
      <c r="J15" s="283">
        <f t="shared" si="3"/>
        <v>0.28000000000000003</v>
      </c>
      <c r="K15" s="284">
        <f t="shared" si="15"/>
        <v>0.02</v>
      </c>
      <c r="L15" s="285"/>
      <c r="M15" s="286">
        <f t="shared" si="4"/>
        <v>0.28000000000000003</v>
      </c>
      <c r="N15" s="287">
        <f t="shared" si="5"/>
        <v>0.02</v>
      </c>
      <c r="O15" s="288"/>
      <c r="P15" s="289">
        <f t="shared" si="21"/>
        <v>0.40659999999999996</v>
      </c>
      <c r="Q15" s="290">
        <f t="shared" si="6"/>
        <v>0.02</v>
      </c>
      <c r="R15" s="291"/>
      <c r="S15" s="292">
        <f t="shared" si="7"/>
        <v>0.40660000000000002</v>
      </c>
      <c r="T15" s="293">
        <f t="shared" si="8"/>
        <v>2.0000000000000004E-2</v>
      </c>
      <c r="U15" s="294"/>
      <c r="V15" s="295">
        <f t="shared" si="22"/>
        <v>17644.773000000001</v>
      </c>
      <c r="W15" s="296">
        <f t="shared" si="11"/>
        <v>17644.773000000001</v>
      </c>
      <c r="X15" s="297">
        <f t="shared" si="12"/>
        <v>0</v>
      </c>
      <c r="Y15" s="294"/>
      <c r="Z15" s="298">
        <f t="shared" si="9"/>
        <v>0.68659999999999999</v>
      </c>
      <c r="AA15" s="293">
        <f t="shared" si="23"/>
        <v>0.6866000000000001</v>
      </c>
      <c r="AB15" s="294"/>
      <c r="AC15" s="299">
        <f t="shared" si="16"/>
        <v>0.02</v>
      </c>
      <c r="AD15" s="299">
        <f t="shared" si="17"/>
        <v>0.02</v>
      </c>
      <c r="AE15" s="300">
        <f t="shared" si="18"/>
        <v>0</v>
      </c>
      <c r="AF15" s="301">
        <f t="shared" si="10"/>
        <v>0</v>
      </c>
      <c r="AL15" s="303"/>
      <c r="AM15" s="303"/>
      <c r="AN15" s="310"/>
      <c r="AP15" s="154">
        <f>+$AP$11</f>
        <v>20.329999999999998</v>
      </c>
      <c r="AQ15" s="304">
        <f>AP15/B15</f>
        <v>0.59219341683658611</v>
      </c>
      <c r="AR15" s="155">
        <f>AV15+AT15</f>
        <v>2.0000000000000018E-2</v>
      </c>
      <c r="AT15" s="304">
        <f>M15-M14</f>
        <v>2.0000000000000018E-2</v>
      </c>
      <c r="AU15" s="305">
        <f xml:space="preserve"> $E$7*M15</f>
        <v>11991.000000000002</v>
      </c>
      <c r="AX15" s="304">
        <f>E15*$BC$6</f>
        <v>0.28000000000000003</v>
      </c>
      <c r="BA15" s="304">
        <f>AP15*$BC$6</f>
        <v>0.40659999999999996</v>
      </c>
      <c r="BC15" s="154">
        <v>38</v>
      </c>
    </row>
    <row r="16" spans="1:55" ht="14.4" thickBot="1" x14ac:dyDescent="0.3">
      <c r="B16" s="311">
        <f>B15+1</f>
        <v>35.33</v>
      </c>
      <c r="C16" s="312">
        <f t="shared" si="13"/>
        <v>0.70660000000000001</v>
      </c>
      <c r="D16" s="313"/>
      <c r="E16" s="314">
        <f t="shared" si="0"/>
        <v>15</v>
      </c>
      <c r="F16" s="315">
        <f t="shared" si="1"/>
        <v>0.42456835550523636</v>
      </c>
      <c r="G16" s="316">
        <f t="shared" si="2"/>
        <v>0.57543164449476358</v>
      </c>
      <c r="H16" s="316">
        <f t="shared" si="14"/>
        <v>1</v>
      </c>
      <c r="I16" s="317"/>
      <c r="J16" s="318">
        <f t="shared" si="3"/>
        <v>0.3</v>
      </c>
      <c r="K16" s="319">
        <f t="shared" si="15"/>
        <v>0.02</v>
      </c>
      <c r="L16" s="285"/>
      <c r="M16" s="320">
        <f t="shared" si="4"/>
        <v>0.3</v>
      </c>
      <c r="N16" s="320">
        <f>IF(B16&lt;$B$16,M16/E16,M16/E16)</f>
        <v>0.02</v>
      </c>
      <c r="O16" s="291">
        <f>IF(C16&lt;$B$16,N16/F16,N16/($B$7*H16))</f>
        <v>4.7106666666666665E-2</v>
      </c>
      <c r="P16" s="321">
        <f>IF(C16&lt;$C$8,$B$7*$C$7, C16-J16)</f>
        <v>0.40660000000000002</v>
      </c>
      <c r="Q16" s="322">
        <f t="shared" ref="Q16:Q21" si="24">(C11-P11)/E11</f>
        <v>2.0000000000000007E-2</v>
      </c>
      <c r="R16" s="323"/>
      <c r="S16" s="320">
        <f t="shared" si="7"/>
        <v>0.40659999999999996</v>
      </c>
      <c r="T16" s="320">
        <f t="shared" si="8"/>
        <v>0.02</v>
      </c>
      <c r="U16" s="324"/>
      <c r="V16" s="295">
        <f t="shared" si="22"/>
        <v>18501.273000000001</v>
      </c>
      <c r="W16" s="296">
        <f t="shared" si="11"/>
        <v>18501.273000000001</v>
      </c>
      <c r="X16" s="297">
        <f t="shared" si="12"/>
        <v>0</v>
      </c>
      <c r="Y16" s="294"/>
      <c r="Z16" s="298">
        <f t="shared" si="9"/>
        <v>0.70660000000000023</v>
      </c>
      <c r="AA16" s="293">
        <f t="shared" si="23"/>
        <v>0.70659999999999989</v>
      </c>
      <c r="AB16" s="324"/>
      <c r="AC16" s="325">
        <f t="shared" si="16"/>
        <v>0.02</v>
      </c>
      <c r="AD16" s="325">
        <f t="shared" si="17"/>
        <v>0.02</v>
      </c>
      <c r="AE16" s="326">
        <f t="shared" si="18"/>
        <v>0</v>
      </c>
      <c r="AF16" s="327">
        <f t="shared" si="10"/>
        <v>0</v>
      </c>
      <c r="AL16" s="328"/>
      <c r="AM16" s="303"/>
      <c r="AN16" s="310"/>
      <c r="AP16" s="154">
        <f>+$AP$11</f>
        <v>20.329999999999998</v>
      </c>
      <c r="AQ16" s="304"/>
      <c r="AR16" s="155"/>
      <c r="AT16" s="304"/>
      <c r="AU16" s="305"/>
      <c r="AX16" s="304"/>
      <c r="BA16" s="304"/>
    </row>
    <row r="17" spans="2:55" ht="14.4" thickBot="1" x14ac:dyDescent="0.3">
      <c r="B17" s="311">
        <f>B16+0.33</f>
        <v>35.659999999999997</v>
      </c>
      <c r="C17" s="312">
        <f t="shared" si="13"/>
        <v>0.70660000000000001</v>
      </c>
      <c r="D17" s="313"/>
      <c r="E17" s="314">
        <f t="shared" si="0"/>
        <v>15.329999999999998</v>
      </c>
      <c r="F17" s="315">
        <f t="shared" si="1"/>
        <v>0.42989343802579921</v>
      </c>
      <c r="G17" s="316">
        <f t="shared" si="2"/>
        <v>0.57010656197420084</v>
      </c>
      <c r="H17" s="316">
        <f t="shared" si="14"/>
        <v>1</v>
      </c>
      <c r="I17" s="317"/>
      <c r="J17" s="318">
        <f t="shared" si="3"/>
        <v>0.30659999999999998</v>
      </c>
      <c r="K17" s="319">
        <f t="shared" si="15"/>
        <v>0.02</v>
      </c>
      <c r="L17" s="285"/>
      <c r="M17" s="320">
        <f t="shared" si="4"/>
        <v>0.30376270330902971</v>
      </c>
      <c r="N17" s="329">
        <f>IF(B17&lt;$B$16,M17/E17,M17/E17)</f>
        <v>1.9814918676388113E-2</v>
      </c>
      <c r="O17" s="291">
        <f>IF(C17&lt;$B$16,N17/F17,N17/($B$7*H17))</f>
        <v>4.6092628832354869E-2</v>
      </c>
      <c r="P17" s="321">
        <f>IF(C17&lt;$C$8,$B$7*$C$7, C17-J17)</f>
        <v>0.4</v>
      </c>
      <c r="Q17" s="322">
        <f t="shared" si="24"/>
        <v>1.9999999999999997E-2</v>
      </c>
      <c r="R17" s="323"/>
      <c r="S17" s="320">
        <f t="shared" si="7"/>
        <v>0.40283729669097029</v>
      </c>
      <c r="T17" s="330">
        <f t="shared" si="8"/>
        <v>1.9814918676388113E-2</v>
      </c>
      <c r="U17" s="324"/>
      <c r="V17" s="295">
        <f t="shared" si="22"/>
        <v>18692.144999999997</v>
      </c>
      <c r="W17" s="296">
        <f t="shared" si="11"/>
        <v>18610.09037969714</v>
      </c>
      <c r="X17" s="331">
        <f t="shared" si="12"/>
        <v>-82.054620302857074</v>
      </c>
      <c r="Y17" s="294"/>
      <c r="Z17" s="298">
        <f t="shared" si="9"/>
        <v>0.71319999999999983</v>
      </c>
      <c r="AA17" s="293">
        <f t="shared" si="23"/>
        <v>0.70660000000000001</v>
      </c>
      <c r="AB17" s="294"/>
      <c r="AC17" s="325"/>
      <c r="AD17" s="325"/>
      <c r="AE17" s="326"/>
      <c r="AF17" s="327"/>
      <c r="AL17" s="328"/>
      <c r="AM17" s="303"/>
      <c r="AN17" s="310"/>
      <c r="AQ17" s="304"/>
      <c r="AR17" s="155"/>
      <c r="AT17" s="304"/>
      <c r="AU17" s="305"/>
      <c r="AX17" s="304"/>
      <c r="BA17" s="304"/>
    </row>
    <row r="18" spans="2:55" x14ac:dyDescent="0.25">
      <c r="B18" s="265">
        <f>B16+1</f>
        <v>36.33</v>
      </c>
      <c r="C18" s="332">
        <f>IF(B18&lt;$B$16,B18*#REF!,(B18-(B18-$B$16))*$C$7)</f>
        <v>0.70660000000000001</v>
      </c>
      <c r="D18" s="333"/>
      <c r="E18" s="279">
        <f t="shared" si="0"/>
        <v>16</v>
      </c>
      <c r="F18" s="280">
        <f t="shared" si="1"/>
        <v>0.44040737682356179</v>
      </c>
      <c r="G18" s="281">
        <f t="shared" si="2"/>
        <v>0.55959262317643821</v>
      </c>
      <c r="H18" s="282">
        <f t="shared" si="14"/>
        <v>1</v>
      </c>
      <c r="I18" s="334"/>
      <c r="J18" s="283">
        <f t="shared" si="3"/>
        <v>0.32</v>
      </c>
      <c r="K18" s="284">
        <f t="shared" si="15"/>
        <v>0.02</v>
      </c>
      <c r="L18" s="285"/>
      <c r="M18" s="335">
        <f t="shared" ref="M18:M19" si="25">E18/B18*C18</f>
        <v>0.31119185246352876</v>
      </c>
      <c r="N18" s="329">
        <f t="shared" ref="N18:N37" si="26">IF(B18&lt;$B$16,M18/E18,M18/E18)</f>
        <v>1.9449490778970548E-2</v>
      </c>
      <c r="O18" s="336"/>
      <c r="P18" s="289">
        <f t="shared" ref="P18:P37" si="27">IF(C18&lt;$C$8,$B$7*$C$7, C18-J18)</f>
        <v>0.3866</v>
      </c>
      <c r="Q18" s="306">
        <f t="shared" si="24"/>
        <v>0.02</v>
      </c>
      <c r="R18" s="294"/>
      <c r="S18" s="292">
        <f t="shared" si="7"/>
        <v>0.39540814753647124</v>
      </c>
      <c r="T18" s="337">
        <f t="shared" si="8"/>
        <v>1.9449490778970551E-2</v>
      </c>
      <c r="U18" s="338"/>
      <c r="V18" s="295">
        <f t="shared" si="22"/>
        <v>19079.672999999999</v>
      </c>
      <c r="W18" s="296">
        <f t="shared" si="11"/>
        <v>18824.941373245252</v>
      </c>
      <c r="X18" s="331">
        <f t="shared" si="12"/>
        <v>-254.73162675474669</v>
      </c>
      <c r="Y18" s="338"/>
      <c r="Z18" s="298">
        <f t="shared" si="9"/>
        <v>0.72660000000000002</v>
      </c>
      <c r="AA18" s="293">
        <f t="shared" si="23"/>
        <v>0.70660000000000001</v>
      </c>
      <c r="AB18" s="338"/>
      <c r="AC18" s="299">
        <f t="shared" ref="AC18:AC37" si="28">J18/E18</f>
        <v>0.02</v>
      </c>
      <c r="AD18" s="339">
        <f t="shared" ref="AD18:AD37" si="29">M18/E18</f>
        <v>1.9449490778970548E-2</v>
      </c>
      <c r="AE18" s="340">
        <f t="shared" ref="AE18:AE37" si="30">-J18+M18</f>
        <v>-8.8081475364712447E-3</v>
      </c>
      <c r="AF18" s="341">
        <f t="shared" ref="AF18:AF37" si="31">((AD18/$C$7)-1)</f>
        <v>-2.7525461051472688E-2</v>
      </c>
      <c r="AL18" s="342"/>
      <c r="AM18" s="342"/>
      <c r="AP18" s="154">
        <f t="shared" ref="AP18:AP23" si="32">+$AP$11</f>
        <v>20.329999999999998</v>
      </c>
      <c r="AQ18" s="304">
        <f t="shared" ref="AQ18:AQ23" si="33">AP18/B18</f>
        <v>0.55959262317643821</v>
      </c>
      <c r="AR18" s="155">
        <f t="shared" ref="AR18:AR33" si="34">AV18+AT18</f>
        <v>0</v>
      </c>
      <c r="AT18" s="304"/>
      <c r="AU18" s="305">
        <f t="shared" ref="AU18:AU23" si="35" xml:space="preserve"> $E$7*M18</f>
        <v>13326.79108175062</v>
      </c>
      <c r="AX18" s="304">
        <f t="shared" ref="AX18:AX23" si="36">E18*$BC$6</f>
        <v>0.32</v>
      </c>
      <c r="BA18" s="304">
        <f>AP18*$BC$6</f>
        <v>0.40659999999999996</v>
      </c>
      <c r="BC18" s="154">
        <v>42.33</v>
      </c>
    </row>
    <row r="19" spans="2:55" x14ac:dyDescent="0.25">
      <c r="B19" s="203">
        <f t="shared" ref="B19:B23" si="37">B18+1</f>
        <v>37.33</v>
      </c>
      <c r="C19" s="278">
        <f>IF(B19&lt;$B$16,B19*J8,(B19-(B19-$B$16))*$C$7)</f>
        <v>0.70660000000000001</v>
      </c>
      <c r="D19" s="333"/>
      <c r="E19" s="279">
        <f t="shared" si="0"/>
        <v>17</v>
      </c>
      <c r="F19" s="280">
        <f t="shared" si="1"/>
        <v>0.45539780337530139</v>
      </c>
      <c r="G19" s="281">
        <f t="shared" si="2"/>
        <v>0.54460219662469866</v>
      </c>
      <c r="H19" s="282">
        <f t="shared" si="14"/>
        <v>1</v>
      </c>
      <c r="I19" s="334"/>
      <c r="J19" s="283">
        <f t="shared" si="3"/>
        <v>0.34</v>
      </c>
      <c r="K19" s="284">
        <f t="shared" si="15"/>
        <v>0.02</v>
      </c>
      <c r="L19" s="285"/>
      <c r="M19" s="335">
        <f t="shared" si="25"/>
        <v>0.32178408786498797</v>
      </c>
      <c r="N19" s="329">
        <f t="shared" si="26"/>
        <v>1.8928475756763999E-2</v>
      </c>
      <c r="O19" s="288"/>
      <c r="P19" s="289">
        <f t="shared" si="27"/>
        <v>0.36659999999999998</v>
      </c>
      <c r="Q19" s="306">
        <f t="shared" si="24"/>
        <v>0.02</v>
      </c>
      <c r="R19" s="291"/>
      <c r="S19" s="292">
        <f t="shared" si="7"/>
        <v>0.38481591213501209</v>
      </c>
      <c r="T19" s="337">
        <f t="shared" si="8"/>
        <v>1.8928475756763999E-2</v>
      </c>
      <c r="U19" s="338"/>
      <c r="V19" s="295">
        <f t="shared" si="22"/>
        <v>19658.073</v>
      </c>
      <c r="W19" s="296">
        <f t="shared" si="11"/>
        <v>19131.268821055455</v>
      </c>
      <c r="X19" s="331">
        <f t="shared" si="12"/>
        <v>-526.80417894454513</v>
      </c>
      <c r="Y19" s="338"/>
      <c r="Z19" s="298">
        <f t="shared" si="9"/>
        <v>0.74659999999999993</v>
      </c>
      <c r="AA19" s="293">
        <f t="shared" si="23"/>
        <v>0.70660000000000012</v>
      </c>
      <c r="AB19" s="338"/>
      <c r="AC19" s="299">
        <f t="shared" si="28"/>
        <v>0.02</v>
      </c>
      <c r="AD19" s="339">
        <f t="shared" si="29"/>
        <v>1.8928475756763999E-2</v>
      </c>
      <c r="AE19" s="340">
        <f t="shared" si="30"/>
        <v>-1.8215912135012058E-2</v>
      </c>
      <c r="AF19" s="341">
        <f t="shared" si="31"/>
        <v>-5.3576212161800085E-2</v>
      </c>
      <c r="AL19" s="342"/>
      <c r="AM19" s="342"/>
      <c r="AP19" s="154">
        <f t="shared" si="32"/>
        <v>20.329999999999998</v>
      </c>
      <c r="AQ19" s="304">
        <f t="shared" si="33"/>
        <v>0.54460219662469866</v>
      </c>
      <c r="AR19" s="155">
        <f t="shared" si="34"/>
        <v>0</v>
      </c>
      <c r="AT19" s="304"/>
      <c r="AU19" s="305">
        <f t="shared" si="35"/>
        <v>13780.40356281811</v>
      </c>
      <c r="AX19" s="304">
        <f t="shared" si="36"/>
        <v>0.34</v>
      </c>
    </row>
    <row r="20" spans="2:55" x14ac:dyDescent="0.25">
      <c r="B20" s="203">
        <f t="shared" si="37"/>
        <v>38.33</v>
      </c>
      <c r="C20" s="278">
        <f>IF(B20&lt;$B$16,B20*J9,(B20-(B20-$B$16))*$C$7)</f>
        <v>0.70660000000000001</v>
      </c>
      <c r="D20" s="333"/>
      <c r="E20" s="279">
        <f t="shared" si="0"/>
        <v>18</v>
      </c>
      <c r="F20" s="280">
        <f t="shared" si="1"/>
        <v>0.46960605270023481</v>
      </c>
      <c r="G20" s="281">
        <f t="shared" si="2"/>
        <v>0.53039394729976519</v>
      </c>
      <c r="H20" s="282">
        <f t="shared" si="14"/>
        <v>1</v>
      </c>
      <c r="I20" s="285"/>
      <c r="J20" s="283">
        <f t="shared" si="3"/>
        <v>0.36</v>
      </c>
      <c r="K20" s="284">
        <f t="shared" si="15"/>
        <v>0.02</v>
      </c>
      <c r="L20" s="285"/>
      <c r="M20" s="286">
        <f t="shared" ref="M20:M37" si="38">F20*C20</f>
        <v>0.33182363683798594</v>
      </c>
      <c r="N20" s="329">
        <f t="shared" si="26"/>
        <v>1.8434646490999219E-2</v>
      </c>
      <c r="O20" s="288"/>
      <c r="P20" s="289">
        <f t="shared" si="27"/>
        <v>0.34660000000000002</v>
      </c>
      <c r="Q20" s="306">
        <f t="shared" si="24"/>
        <v>0.02</v>
      </c>
      <c r="R20" s="291"/>
      <c r="S20" s="292">
        <f t="shared" si="7"/>
        <v>0.37477636316201407</v>
      </c>
      <c r="T20" s="337">
        <f t="shared" si="8"/>
        <v>1.8434646490999219E-2</v>
      </c>
      <c r="U20" s="338"/>
      <c r="V20" s="295">
        <f t="shared" si="22"/>
        <v>20236.472999999998</v>
      </c>
      <c r="W20" s="296">
        <f t="shared" si="11"/>
        <v>19421.612577354554</v>
      </c>
      <c r="X20" s="331">
        <f t="shared" si="12"/>
        <v>-814.86042264544449</v>
      </c>
      <c r="Y20" s="338"/>
      <c r="Z20" s="298">
        <f t="shared" si="9"/>
        <v>0.76659999999999995</v>
      </c>
      <c r="AA20" s="293">
        <f t="shared" si="23"/>
        <v>0.70660000000000001</v>
      </c>
      <c r="AB20" s="338"/>
      <c r="AC20" s="299">
        <f t="shared" si="28"/>
        <v>0.02</v>
      </c>
      <c r="AD20" s="339">
        <f t="shared" si="29"/>
        <v>1.8434646490999219E-2</v>
      </c>
      <c r="AE20" s="340">
        <f t="shared" si="30"/>
        <v>-2.8176363162014051E-2</v>
      </c>
      <c r="AF20" s="341">
        <f t="shared" si="31"/>
        <v>-7.8267675450039098E-2</v>
      </c>
      <c r="AL20" s="342"/>
      <c r="AM20" s="342"/>
      <c r="AP20" s="154">
        <f t="shared" si="32"/>
        <v>20.329999999999998</v>
      </c>
      <c r="AQ20" s="304">
        <f t="shared" si="33"/>
        <v>0.53039394729976519</v>
      </c>
      <c r="AR20" s="155">
        <f t="shared" si="34"/>
        <v>0</v>
      </c>
      <c r="AT20" s="304"/>
      <c r="AU20" s="305">
        <f t="shared" si="35"/>
        <v>14210.347247586747</v>
      </c>
      <c r="AX20" s="304">
        <f t="shared" si="36"/>
        <v>0.36</v>
      </c>
    </row>
    <row r="21" spans="2:55" x14ac:dyDescent="0.25">
      <c r="B21" s="203">
        <f t="shared" si="37"/>
        <v>39.33</v>
      </c>
      <c r="C21" s="278">
        <f t="shared" ref="C21:C26" si="39">IF(B21&lt;$B$16,B21*J11,(B21-(B21-$B$16))*$C$7)</f>
        <v>0.70660000000000001</v>
      </c>
      <c r="D21" s="333"/>
      <c r="E21" s="279">
        <f t="shared" si="0"/>
        <v>19</v>
      </c>
      <c r="F21" s="280">
        <f t="shared" si="1"/>
        <v>0.48309178743961356</v>
      </c>
      <c r="G21" s="281">
        <f t="shared" si="2"/>
        <v>0.51690821256038644</v>
      </c>
      <c r="H21" s="282">
        <f t="shared" si="14"/>
        <v>1</v>
      </c>
      <c r="I21" s="285"/>
      <c r="J21" s="283">
        <f t="shared" si="3"/>
        <v>0.38</v>
      </c>
      <c r="K21" s="284">
        <f t="shared" si="15"/>
        <v>0.02</v>
      </c>
      <c r="L21" s="285"/>
      <c r="M21" s="286">
        <f t="shared" si="38"/>
        <v>0.34135265700483097</v>
      </c>
      <c r="N21" s="329">
        <f t="shared" si="26"/>
        <v>1.7965929316043735E-2</v>
      </c>
      <c r="O21" s="288"/>
      <c r="P21" s="289">
        <f t="shared" si="27"/>
        <v>0.3266</v>
      </c>
      <c r="Q21" s="306">
        <f t="shared" si="24"/>
        <v>0.02</v>
      </c>
      <c r="R21" s="291"/>
      <c r="S21" s="292">
        <f t="shared" si="7"/>
        <v>0.36524734299516903</v>
      </c>
      <c r="T21" s="337">
        <f t="shared" si="8"/>
        <v>1.7965929316043731E-2</v>
      </c>
      <c r="U21" s="338"/>
      <c r="V21" s="295">
        <f t="shared" si="22"/>
        <v>20814.873</v>
      </c>
      <c r="W21" s="296">
        <f t="shared" si="11"/>
        <v>19697.191840579711</v>
      </c>
      <c r="X21" s="331">
        <f t="shared" si="12"/>
        <v>-1117.6811594202882</v>
      </c>
      <c r="Y21" s="338"/>
      <c r="Z21" s="298">
        <f t="shared" si="9"/>
        <v>0.78659999999999997</v>
      </c>
      <c r="AA21" s="293">
        <f t="shared" si="23"/>
        <v>0.70660000000000001</v>
      </c>
      <c r="AB21" s="338"/>
      <c r="AC21" s="325">
        <f t="shared" si="28"/>
        <v>0.02</v>
      </c>
      <c r="AD21" s="339">
        <f t="shared" si="29"/>
        <v>1.7965929316043735E-2</v>
      </c>
      <c r="AE21" s="340">
        <f t="shared" si="30"/>
        <v>-3.8647342995169032E-2</v>
      </c>
      <c r="AF21" s="341">
        <f t="shared" si="31"/>
        <v>-0.10170353419781331</v>
      </c>
      <c r="AL21" s="342"/>
      <c r="AM21" s="342"/>
      <c r="AP21" s="154">
        <f t="shared" si="32"/>
        <v>20.329999999999998</v>
      </c>
      <c r="AQ21" s="304">
        <f t="shared" si="33"/>
        <v>0.51690821256038644</v>
      </c>
      <c r="AR21" s="155">
        <f t="shared" si="34"/>
        <v>0</v>
      </c>
      <c r="AT21" s="304"/>
      <c r="AU21" s="305">
        <f t="shared" si="35"/>
        <v>14618.427536231886</v>
      </c>
      <c r="AX21" s="304">
        <f t="shared" si="36"/>
        <v>0.38</v>
      </c>
    </row>
    <row r="22" spans="2:55" x14ac:dyDescent="0.25">
      <c r="B22" s="203">
        <f t="shared" si="37"/>
        <v>40.33</v>
      </c>
      <c r="C22" s="278">
        <f t="shared" si="39"/>
        <v>0.70660000000000001</v>
      </c>
      <c r="D22" s="333"/>
      <c r="E22" s="279">
        <f t="shared" si="0"/>
        <v>20</v>
      </c>
      <c r="F22" s="280">
        <f t="shared" si="1"/>
        <v>0.49590875278948676</v>
      </c>
      <c r="G22" s="281">
        <f t="shared" si="2"/>
        <v>0.50409124721051324</v>
      </c>
      <c r="H22" s="282">
        <f t="shared" si="14"/>
        <v>1</v>
      </c>
      <c r="I22" s="285"/>
      <c r="J22" s="283">
        <f t="shared" si="3"/>
        <v>0.4</v>
      </c>
      <c r="K22" s="284">
        <f t="shared" si="15"/>
        <v>0.02</v>
      </c>
      <c r="L22" s="285"/>
      <c r="M22" s="286">
        <f t="shared" si="38"/>
        <v>0.35040912472105135</v>
      </c>
      <c r="N22" s="329">
        <f t="shared" si="26"/>
        <v>1.7520456236052567E-2</v>
      </c>
      <c r="O22" s="288"/>
      <c r="P22" s="289">
        <f t="shared" si="27"/>
        <v>0.30659999999999998</v>
      </c>
      <c r="Q22" s="306" t="e">
        <f>(#REF!-#REF!)/#REF!</f>
        <v>#REF!</v>
      </c>
      <c r="R22" s="291"/>
      <c r="S22" s="292">
        <f t="shared" si="7"/>
        <v>0.35619087527894866</v>
      </c>
      <c r="T22" s="337">
        <f t="shared" si="8"/>
        <v>1.7520456236052567E-2</v>
      </c>
      <c r="U22" s="338"/>
      <c r="V22" s="295">
        <f t="shared" si="22"/>
        <v>21393.273000000001</v>
      </c>
      <c r="W22" s="296">
        <f t="shared" si="11"/>
        <v>19959.104886932808</v>
      </c>
      <c r="X22" s="331">
        <f t="shared" si="12"/>
        <v>-1434.1681130671932</v>
      </c>
      <c r="Y22" s="338"/>
      <c r="Z22" s="298" t="e">
        <f t="shared" si="9"/>
        <v>#REF!</v>
      </c>
      <c r="AA22" s="293">
        <f t="shared" si="23"/>
        <v>0.70660000000000001</v>
      </c>
      <c r="AB22" s="338"/>
      <c r="AC22" s="299">
        <f t="shared" si="28"/>
        <v>0.02</v>
      </c>
      <c r="AD22" s="339">
        <f t="shared" si="29"/>
        <v>1.7520456236052567E-2</v>
      </c>
      <c r="AE22" s="340">
        <f t="shared" si="30"/>
        <v>-4.9590875278948676E-2</v>
      </c>
      <c r="AF22" s="341">
        <f t="shared" si="31"/>
        <v>-0.12397718819737169</v>
      </c>
      <c r="AL22" s="342"/>
      <c r="AM22" s="342"/>
      <c r="AP22" s="154">
        <f t="shared" si="32"/>
        <v>20.329999999999998</v>
      </c>
      <c r="AQ22" s="304">
        <f t="shared" si="33"/>
        <v>0.50409124721051324</v>
      </c>
      <c r="AR22" s="155">
        <f t="shared" si="34"/>
        <v>0</v>
      </c>
      <c r="AT22" s="304"/>
      <c r="AU22" s="305">
        <f t="shared" si="35"/>
        <v>15006.270766179025</v>
      </c>
      <c r="AX22" s="304">
        <f t="shared" si="36"/>
        <v>0.4</v>
      </c>
    </row>
    <row r="23" spans="2:55" x14ac:dyDescent="0.25">
      <c r="B23" s="203">
        <f t="shared" si="37"/>
        <v>41.33</v>
      </c>
      <c r="C23" s="278">
        <f t="shared" si="39"/>
        <v>0.70660000000000001</v>
      </c>
      <c r="D23" s="333"/>
      <c r="E23" s="279">
        <f t="shared" si="0"/>
        <v>21</v>
      </c>
      <c r="F23" s="280">
        <f t="shared" si="1"/>
        <v>0.50810549237841762</v>
      </c>
      <c r="G23" s="281">
        <f t="shared" si="2"/>
        <v>0.49189450762158238</v>
      </c>
      <c r="H23" s="282">
        <f t="shared" si="14"/>
        <v>1</v>
      </c>
      <c r="I23" s="285"/>
      <c r="J23" s="283">
        <f t="shared" si="3"/>
        <v>0.42</v>
      </c>
      <c r="K23" s="284">
        <f t="shared" si="15"/>
        <v>0.02</v>
      </c>
      <c r="L23" s="285"/>
      <c r="M23" s="286">
        <f t="shared" si="38"/>
        <v>0.35902734091458988</v>
      </c>
      <c r="N23" s="329">
        <f t="shared" si="26"/>
        <v>1.7096540043551899E-2</v>
      </c>
      <c r="O23" s="288"/>
      <c r="P23" s="289">
        <f t="shared" si="27"/>
        <v>0.28660000000000002</v>
      </c>
      <c r="Q23" s="306">
        <f t="shared" ref="Q23:Q33" si="40">(C18-P18)/E18</f>
        <v>0.02</v>
      </c>
      <c r="R23" s="291"/>
      <c r="S23" s="292">
        <f t="shared" si="7"/>
        <v>0.34757265908541013</v>
      </c>
      <c r="T23" s="337">
        <f t="shared" si="8"/>
        <v>1.7096540043551902E-2</v>
      </c>
      <c r="U23" s="338"/>
      <c r="V23" s="295">
        <f t="shared" si="22"/>
        <v>21971.672999999999</v>
      </c>
      <c r="W23" s="296">
        <f t="shared" si="11"/>
        <v>20208.343699249941</v>
      </c>
      <c r="X23" s="331">
        <f t="shared" si="12"/>
        <v>-1763.3293007500579</v>
      </c>
      <c r="Y23" s="338"/>
      <c r="Z23" s="298">
        <f t="shared" si="9"/>
        <v>0.8266</v>
      </c>
      <c r="AA23" s="293">
        <f t="shared" si="23"/>
        <v>0.70660000000000001</v>
      </c>
      <c r="AB23" s="338"/>
      <c r="AC23" s="299">
        <f t="shared" si="28"/>
        <v>0.02</v>
      </c>
      <c r="AD23" s="339">
        <f t="shared" si="29"/>
        <v>1.7096540043551899E-2</v>
      </c>
      <c r="AE23" s="340">
        <f t="shared" si="30"/>
        <v>-6.0972659085410108E-2</v>
      </c>
      <c r="AF23" s="341">
        <f>((AD23/$C$7)-1)</f>
        <v>-0.14517299782240511</v>
      </c>
      <c r="AL23" s="342"/>
      <c r="AM23" s="342"/>
      <c r="AP23" s="154">
        <f t="shared" si="32"/>
        <v>20.329999999999998</v>
      </c>
      <c r="AQ23" s="304">
        <f t="shared" si="33"/>
        <v>0.49189450762158238</v>
      </c>
      <c r="AR23" s="155">
        <f t="shared" si="34"/>
        <v>0</v>
      </c>
      <c r="AT23" s="304"/>
      <c r="AU23" s="305">
        <f t="shared" si="35"/>
        <v>15375.345874667311</v>
      </c>
      <c r="AX23" s="304">
        <f t="shared" si="36"/>
        <v>0.42</v>
      </c>
    </row>
    <row r="24" spans="2:55" ht="14.4" thickBot="1" x14ac:dyDescent="0.3">
      <c r="B24" s="308">
        <f>B23+0.33</f>
        <v>41.66</v>
      </c>
      <c r="C24" s="309">
        <f t="shared" si="39"/>
        <v>0.70660000000000001</v>
      </c>
      <c r="D24" s="333"/>
      <c r="E24" s="279">
        <f t="shared" si="0"/>
        <v>21.33</v>
      </c>
      <c r="F24" s="280">
        <f t="shared" si="1"/>
        <v>0.51200192030724911</v>
      </c>
      <c r="G24" s="281">
        <f t="shared" si="2"/>
        <v>0.48799807969275083</v>
      </c>
      <c r="H24" s="282">
        <f t="shared" si="14"/>
        <v>1</v>
      </c>
      <c r="I24" s="285"/>
      <c r="J24" s="283">
        <f t="shared" si="3"/>
        <v>0.42659999999999998</v>
      </c>
      <c r="K24" s="284">
        <f t="shared" si="15"/>
        <v>0.02</v>
      </c>
      <c r="L24" s="285"/>
      <c r="M24" s="286">
        <f t="shared" si="38"/>
        <v>0.36178055688910221</v>
      </c>
      <c r="N24" s="329">
        <f t="shared" si="26"/>
        <v>1.6961113778204511E-2</v>
      </c>
      <c r="O24" s="288"/>
      <c r="P24" s="289">
        <f t="shared" si="27"/>
        <v>0.28000000000000003</v>
      </c>
      <c r="Q24" s="306">
        <f t="shared" si="40"/>
        <v>0.02</v>
      </c>
      <c r="R24" s="291"/>
      <c r="S24" s="292">
        <f t="shared" si="7"/>
        <v>0.34481944311089774</v>
      </c>
      <c r="T24" s="337">
        <f t="shared" si="8"/>
        <v>1.6961113778204515E-2</v>
      </c>
      <c r="U24" s="338"/>
      <c r="V24" s="295">
        <f t="shared" si="22"/>
        <v>22162.545000000002</v>
      </c>
      <c r="W24" s="296">
        <f t="shared" si="11"/>
        <v>20287.966705232837</v>
      </c>
      <c r="X24" s="331">
        <f t="shared" si="12"/>
        <v>-1874.5782947671651</v>
      </c>
      <c r="Y24" s="338"/>
      <c r="Z24" s="298">
        <f t="shared" si="9"/>
        <v>0.83319999999999994</v>
      </c>
      <c r="AA24" s="293">
        <f t="shared" si="23"/>
        <v>0.70659999999999989</v>
      </c>
      <c r="AB24" s="338"/>
      <c r="AC24" s="299">
        <f t="shared" si="28"/>
        <v>0.02</v>
      </c>
      <c r="AD24" s="339">
        <f t="shared" si="29"/>
        <v>1.6961113778204511E-2</v>
      </c>
      <c r="AE24" s="340">
        <f t="shared" si="30"/>
        <v>-6.4819443110897768E-2</v>
      </c>
      <c r="AF24" s="341">
        <f>((AD24/$C$7)-1)</f>
        <v>-0.15194431108977446</v>
      </c>
      <c r="AL24" s="342"/>
      <c r="AM24" s="342"/>
      <c r="AQ24" s="304"/>
      <c r="AR24" s="155"/>
      <c r="AT24" s="304"/>
      <c r="AU24" s="305"/>
      <c r="AX24" s="304"/>
    </row>
    <row r="25" spans="2:55" ht="14.4" thickBot="1" x14ac:dyDescent="0.3">
      <c r="B25" s="314">
        <f>B24+1</f>
        <v>42.66</v>
      </c>
      <c r="C25" s="343">
        <f t="shared" si="39"/>
        <v>0.70660000000000001</v>
      </c>
      <c r="D25" s="333"/>
      <c r="E25" s="344">
        <f t="shared" si="0"/>
        <v>22.33</v>
      </c>
      <c r="F25" s="285">
        <f>E25/B25</f>
        <v>0.52344116268166896</v>
      </c>
      <c r="G25" s="345">
        <f>$B$7/B25</f>
        <v>0.47655883731833099</v>
      </c>
      <c r="H25" s="282">
        <f t="shared" si="14"/>
        <v>1</v>
      </c>
      <c r="I25" s="285"/>
      <c r="J25" s="457">
        <f t="shared" si="3"/>
        <v>0.4466</v>
      </c>
      <c r="K25" s="346">
        <f t="shared" si="15"/>
        <v>0.02</v>
      </c>
      <c r="L25" s="285"/>
      <c r="M25" s="293">
        <f t="shared" si="38"/>
        <v>0.36986352555086727</v>
      </c>
      <c r="N25" s="337">
        <f>IF(B25&lt;$B$16,M25/E25,M25/E25)</f>
        <v>1.6563525550867323E-2</v>
      </c>
      <c r="O25" s="288"/>
      <c r="P25" s="347">
        <f t="shared" si="27"/>
        <v>0.26</v>
      </c>
      <c r="Q25" s="347">
        <f t="shared" si="40"/>
        <v>0.02</v>
      </c>
      <c r="R25" s="291"/>
      <c r="S25" s="320">
        <f t="shared" si="7"/>
        <v>0.33673647444913268</v>
      </c>
      <c r="T25" s="330">
        <f t="shared" si="8"/>
        <v>1.6563525550867323E-2</v>
      </c>
      <c r="U25" s="348"/>
      <c r="V25" s="349">
        <f t="shared" si="22"/>
        <v>22740.945</v>
      </c>
      <c r="W25" s="350">
        <f t="shared" si="11"/>
        <v>20521.72615893108</v>
      </c>
      <c r="X25" s="351">
        <f t="shared" si="12"/>
        <v>-2219.2188410689196</v>
      </c>
      <c r="Y25" s="338"/>
      <c r="Z25" s="298">
        <f t="shared" si="9"/>
        <v>0.85319999999999996</v>
      </c>
      <c r="AA25" s="293">
        <f t="shared" si="23"/>
        <v>0.70659999999999989</v>
      </c>
      <c r="AB25" s="348"/>
      <c r="AC25" s="352">
        <f t="shared" si="28"/>
        <v>0.02</v>
      </c>
      <c r="AD25" s="353">
        <f t="shared" si="29"/>
        <v>1.6563525550867323E-2</v>
      </c>
      <c r="AE25" s="354">
        <f t="shared" si="30"/>
        <v>-7.673647444913273E-2</v>
      </c>
      <c r="AF25" s="355">
        <f t="shared" si="31"/>
        <v>-0.17182372245663391</v>
      </c>
      <c r="AL25" s="342"/>
      <c r="AM25" s="342"/>
      <c r="AP25" s="154">
        <f t="shared" ref="AP25:AP33" si="41">+$AP$11</f>
        <v>20.329999999999998</v>
      </c>
      <c r="AQ25" s="304">
        <f t="shared" ref="AQ25:AQ33" si="42">AP25/B25</f>
        <v>0.47655883731833099</v>
      </c>
      <c r="AR25" s="155">
        <f t="shared" si="34"/>
        <v>0</v>
      </c>
      <c r="AT25" s="304"/>
      <c r="AU25" s="305">
        <f t="shared" ref="AU25:AU33" si="43" xml:space="preserve"> $E$7*M25</f>
        <v>15839.40548171589</v>
      </c>
      <c r="AX25" s="304">
        <f t="shared" ref="AX25:AX33" si="44">E25*$BC$6</f>
        <v>0.4466</v>
      </c>
    </row>
    <row r="26" spans="2:55" ht="14.4" thickBot="1" x14ac:dyDescent="0.3">
      <c r="B26" s="265">
        <f>B25+0.34</f>
        <v>43</v>
      </c>
      <c r="C26" s="332">
        <f t="shared" si="39"/>
        <v>0.70660000000000001</v>
      </c>
      <c r="D26" s="333"/>
      <c r="E26" s="344">
        <f t="shared" si="0"/>
        <v>22.67</v>
      </c>
      <c r="F26" s="316">
        <f>E26/B26</f>
        <v>0.52720930232558139</v>
      </c>
      <c r="G26" s="345">
        <f>$B$7/B26</f>
        <v>0.47279069767441856</v>
      </c>
      <c r="H26" s="282">
        <f t="shared" si="14"/>
        <v>1</v>
      </c>
      <c r="I26" s="285"/>
      <c r="J26" s="356">
        <f t="shared" si="3"/>
        <v>0.45340000000000003</v>
      </c>
      <c r="K26" s="356">
        <f t="shared" si="15"/>
        <v>0.02</v>
      </c>
      <c r="L26" s="285"/>
      <c r="M26" s="357">
        <f t="shared" si="38"/>
        <v>0.37252609302325579</v>
      </c>
      <c r="N26" s="330">
        <f>IF(B26&lt;$B$16,M26/E26,M26/E26)</f>
        <v>1.643255813953488E-2</v>
      </c>
      <c r="O26" s="358"/>
      <c r="P26" s="321">
        <f t="shared" si="27"/>
        <v>0.25319999999999998</v>
      </c>
      <c r="Q26" s="359">
        <f>(C21-P21)/E21</f>
        <v>0.02</v>
      </c>
      <c r="R26" s="291"/>
      <c r="S26" s="320">
        <f t="shared" si="7"/>
        <v>0.33407390697674416</v>
      </c>
      <c r="T26" s="330">
        <f t="shared" si="8"/>
        <v>1.6432558139534884E-2</v>
      </c>
      <c r="U26" s="338"/>
      <c r="V26" s="295">
        <f t="shared" si="22"/>
        <v>22937.600999999999</v>
      </c>
      <c r="W26" s="296">
        <f t="shared" si="11"/>
        <v>20598.727610232556</v>
      </c>
      <c r="X26" s="331">
        <f t="shared" si="12"/>
        <v>-2338.8733897674429</v>
      </c>
      <c r="Y26" s="338"/>
      <c r="Z26" s="298">
        <f t="shared" si="9"/>
        <v>0.86</v>
      </c>
      <c r="AA26" s="293">
        <f t="shared" si="23"/>
        <v>0.70659999999999989</v>
      </c>
      <c r="AB26" s="338"/>
      <c r="AC26" s="299">
        <f t="shared" si="28"/>
        <v>0.02</v>
      </c>
      <c r="AD26" s="339">
        <f t="shared" si="29"/>
        <v>1.643255813953488E-2</v>
      </c>
      <c r="AE26" s="340">
        <f t="shared" si="30"/>
        <v>-8.0873906976744236E-2</v>
      </c>
      <c r="AF26" s="341">
        <f t="shared" si="31"/>
        <v>-0.17837209302325596</v>
      </c>
      <c r="AL26" s="342"/>
      <c r="AM26" s="342"/>
      <c r="AP26" s="154">
        <f t="shared" si="41"/>
        <v>20.329999999999998</v>
      </c>
      <c r="AQ26" s="304">
        <f t="shared" si="42"/>
        <v>0.47279069767441856</v>
      </c>
      <c r="AR26" s="155">
        <f t="shared" si="34"/>
        <v>0</v>
      </c>
      <c r="AT26" s="304"/>
      <c r="AU26" s="305">
        <f t="shared" si="43"/>
        <v>15953.429933720929</v>
      </c>
      <c r="AX26" s="304">
        <f t="shared" si="44"/>
        <v>0.45340000000000003</v>
      </c>
    </row>
    <row r="27" spans="2:55" x14ac:dyDescent="0.25">
      <c r="B27" s="360">
        <f>B26+1</f>
        <v>44</v>
      </c>
      <c r="C27" s="278">
        <f>IF(B27&lt;$B$16,B27*#REF!,(B27-(B27-$B$16))*$C$7)</f>
        <v>0.70660000000000001</v>
      </c>
      <c r="D27" s="333"/>
      <c r="E27" s="279">
        <f t="shared" si="0"/>
        <v>23.67</v>
      </c>
      <c r="F27" s="280">
        <f t="shared" si="1"/>
        <v>0.53795454545454546</v>
      </c>
      <c r="G27" s="281">
        <f t="shared" ref="G27:G37" si="45">$B$7/B27</f>
        <v>0.46204545454545448</v>
      </c>
      <c r="H27" s="282">
        <f t="shared" si="14"/>
        <v>1</v>
      </c>
      <c r="I27" s="285"/>
      <c r="J27" s="283">
        <f t="shared" si="3"/>
        <v>0.47340000000000004</v>
      </c>
      <c r="K27" s="284">
        <f t="shared" si="15"/>
        <v>0.02</v>
      </c>
      <c r="L27" s="285"/>
      <c r="M27" s="286">
        <f t="shared" si="38"/>
        <v>0.38011868181818181</v>
      </c>
      <c r="N27" s="329">
        <f t="shared" si="26"/>
        <v>1.6059090909090908E-2</v>
      </c>
      <c r="O27" s="288"/>
      <c r="P27" s="289">
        <f t="shared" si="27"/>
        <v>0.23319999999999996</v>
      </c>
      <c r="Q27" s="306">
        <f t="shared" si="40"/>
        <v>0.02</v>
      </c>
      <c r="R27" s="291"/>
      <c r="S27" s="292">
        <f t="shared" si="7"/>
        <v>0.32648131818181814</v>
      </c>
      <c r="T27" s="337">
        <f t="shared" si="8"/>
        <v>1.6059090909090908E-2</v>
      </c>
      <c r="U27" s="338"/>
      <c r="V27" s="295">
        <f t="shared" si="22"/>
        <v>23516.001000000004</v>
      </c>
      <c r="W27" s="296">
        <f t="shared" si="11"/>
        <v>20818.305278181819</v>
      </c>
      <c r="X27" s="331">
        <f t="shared" si="12"/>
        <v>-2697.6957218181851</v>
      </c>
      <c r="Y27" s="338"/>
      <c r="Z27" s="298">
        <f t="shared" si="9"/>
        <v>0.88</v>
      </c>
      <c r="AA27" s="293">
        <f t="shared" si="23"/>
        <v>0.70659999999999989</v>
      </c>
      <c r="AB27" s="338"/>
      <c r="AC27" s="325">
        <f t="shared" si="28"/>
        <v>0.02</v>
      </c>
      <c r="AD27" s="339">
        <f t="shared" si="29"/>
        <v>1.6059090909090908E-2</v>
      </c>
      <c r="AE27" s="340">
        <f t="shared" si="30"/>
        <v>-9.3281318181818229E-2</v>
      </c>
      <c r="AF27" s="341">
        <f t="shared" si="31"/>
        <v>-0.19704545454545463</v>
      </c>
      <c r="AL27" s="342"/>
      <c r="AM27" s="342"/>
      <c r="AP27" s="154">
        <f t="shared" si="41"/>
        <v>20.329999999999998</v>
      </c>
      <c r="AQ27" s="304">
        <f t="shared" si="42"/>
        <v>0.46204545454545448</v>
      </c>
      <c r="AR27" s="155">
        <f t="shared" si="34"/>
        <v>0</v>
      </c>
      <c r="AT27" s="304"/>
      <c r="AU27" s="305">
        <f t="shared" si="43"/>
        <v>16278.582548863636</v>
      </c>
      <c r="AX27" s="304">
        <f t="shared" si="44"/>
        <v>0.47340000000000004</v>
      </c>
    </row>
    <row r="28" spans="2:55" x14ac:dyDescent="0.25">
      <c r="B28" s="360">
        <f>B27+1</f>
        <v>45</v>
      </c>
      <c r="C28" s="278">
        <f t="shared" ref="C28:C37" si="46">IF(B28&lt;$B$16,B28*J18,(B28-(B28-$B$16))*$C$7)</f>
        <v>0.70660000000000001</v>
      </c>
      <c r="D28" s="333"/>
      <c r="E28" s="279">
        <f t="shared" si="0"/>
        <v>24.67</v>
      </c>
      <c r="F28" s="280">
        <f t="shared" si="1"/>
        <v>0.54822222222222228</v>
      </c>
      <c r="G28" s="281">
        <f t="shared" si="45"/>
        <v>0.45177777777777772</v>
      </c>
      <c r="H28" s="282">
        <f t="shared" si="14"/>
        <v>1</v>
      </c>
      <c r="I28" s="285"/>
      <c r="J28" s="283">
        <f t="shared" si="3"/>
        <v>0.49340000000000006</v>
      </c>
      <c r="K28" s="284">
        <f t="shared" si="15"/>
        <v>0.02</v>
      </c>
      <c r="L28" s="285"/>
      <c r="M28" s="286">
        <f t="shared" si="38"/>
        <v>0.38737382222222227</v>
      </c>
      <c r="N28" s="329">
        <f t="shared" si="26"/>
        <v>1.5702222222222222E-2</v>
      </c>
      <c r="O28" s="288"/>
      <c r="P28" s="289">
        <f t="shared" si="27"/>
        <v>0.21319999999999995</v>
      </c>
      <c r="Q28" s="306">
        <f t="shared" si="40"/>
        <v>0.02</v>
      </c>
      <c r="R28" s="291"/>
      <c r="S28" s="292">
        <f t="shared" si="7"/>
        <v>0.31922617777777773</v>
      </c>
      <c r="T28" s="337">
        <f t="shared" si="8"/>
        <v>1.5702222222222222E-2</v>
      </c>
      <c r="U28" s="338"/>
      <c r="V28" s="295">
        <f t="shared" si="22"/>
        <v>24094.401000000002</v>
      </c>
      <c r="W28" s="296">
        <f t="shared" si="11"/>
        <v>21028.123938666671</v>
      </c>
      <c r="X28" s="331">
        <f t="shared" si="12"/>
        <v>-3066.2770613333305</v>
      </c>
      <c r="Y28" s="338"/>
      <c r="Z28" s="298">
        <f t="shared" si="9"/>
        <v>0.9</v>
      </c>
      <c r="AA28" s="293">
        <f t="shared" si="23"/>
        <v>0.70660000000000001</v>
      </c>
      <c r="AB28" s="338"/>
      <c r="AC28" s="299">
        <f t="shared" si="28"/>
        <v>0.02</v>
      </c>
      <c r="AD28" s="339">
        <f t="shared" si="29"/>
        <v>1.5702222222222222E-2</v>
      </c>
      <c r="AE28" s="340">
        <f t="shared" si="30"/>
        <v>-0.10602617777777779</v>
      </c>
      <c r="AF28" s="341">
        <f t="shared" si="31"/>
        <v>-0.21488888888888891</v>
      </c>
      <c r="AL28" s="342"/>
      <c r="AM28" s="342"/>
      <c r="AP28" s="154">
        <f t="shared" si="41"/>
        <v>20.329999999999998</v>
      </c>
      <c r="AQ28" s="304">
        <f t="shared" si="42"/>
        <v>0.45177777777777772</v>
      </c>
      <c r="AR28" s="155">
        <f t="shared" si="34"/>
        <v>0</v>
      </c>
      <c r="AT28" s="304"/>
      <c r="AU28" s="305">
        <f t="shared" si="43"/>
        <v>16589.28393666667</v>
      </c>
      <c r="AX28" s="304">
        <f t="shared" si="44"/>
        <v>0.49340000000000006</v>
      </c>
    </row>
    <row r="29" spans="2:55" x14ac:dyDescent="0.25">
      <c r="B29" s="360">
        <f t="shared" ref="B29:B33" si="47">B28+1</f>
        <v>46</v>
      </c>
      <c r="C29" s="278">
        <f t="shared" si="46"/>
        <v>0.70660000000000001</v>
      </c>
      <c r="D29" s="333"/>
      <c r="E29" s="279">
        <f t="shared" si="0"/>
        <v>25.67</v>
      </c>
      <c r="F29" s="280">
        <f t="shared" si="1"/>
        <v>0.55804347826086964</v>
      </c>
      <c r="G29" s="281">
        <f t="shared" si="45"/>
        <v>0.44195652173913041</v>
      </c>
      <c r="H29" s="282">
        <f t="shared" si="14"/>
        <v>1</v>
      </c>
      <c r="I29" s="285"/>
      <c r="J29" s="283">
        <f t="shared" si="3"/>
        <v>0.51340000000000008</v>
      </c>
      <c r="K29" s="284">
        <f t="shared" si="15"/>
        <v>0.02</v>
      </c>
      <c r="L29" s="285"/>
      <c r="M29" s="286">
        <f t="shared" si="38"/>
        <v>0.39431352173913048</v>
      </c>
      <c r="N29" s="329">
        <f t="shared" si="26"/>
        <v>1.5360869565217391E-2</v>
      </c>
      <c r="O29" s="288"/>
      <c r="P29" s="289">
        <f t="shared" si="27"/>
        <v>0.19319999999999993</v>
      </c>
      <c r="Q29" s="306">
        <f t="shared" si="40"/>
        <v>0.02</v>
      </c>
      <c r="R29" s="291"/>
      <c r="S29" s="292">
        <f t="shared" si="7"/>
        <v>0.31228647826086953</v>
      </c>
      <c r="T29" s="337">
        <f t="shared" si="8"/>
        <v>1.5360869565217391E-2</v>
      </c>
      <c r="U29" s="338"/>
      <c r="V29" s="295">
        <f t="shared" si="22"/>
        <v>24672.801000000003</v>
      </c>
      <c r="W29" s="296">
        <f t="shared" si="11"/>
        <v>21228.820048695652</v>
      </c>
      <c r="X29" s="331">
        <f t="shared" si="12"/>
        <v>-3443.980951304351</v>
      </c>
      <c r="Y29" s="338"/>
      <c r="Z29" s="298">
        <f t="shared" si="9"/>
        <v>0.92</v>
      </c>
      <c r="AA29" s="293">
        <f t="shared" si="23"/>
        <v>0.70660000000000001</v>
      </c>
      <c r="AB29" s="338"/>
      <c r="AC29" s="299">
        <f t="shared" si="28"/>
        <v>0.02</v>
      </c>
      <c r="AD29" s="339">
        <f t="shared" si="29"/>
        <v>1.5360869565217391E-2</v>
      </c>
      <c r="AE29" s="340">
        <f t="shared" si="30"/>
        <v>-0.1190864782608696</v>
      </c>
      <c r="AF29" s="341">
        <f t="shared" si="31"/>
        <v>-0.23195652173913051</v>
      </c>
      <c r="AL29" s="342"/>
      <c r="AM29" s="342"/>
      <c r="AP29" s="154">
        <f t="shared" si="41"/>
        <v>20.329999999999998</v>
      </c>
      <c r="AQ29" s="304">
        <f t="shared" si="42"/>
        <v>0.44195652173913041</v>
      </c>
      <c r="AR29" s="155">
        <f t="shared" si="34"/>
        <v>0</v>
      </c>
      <c r="AT29" s="304"/>
      <c r="AU29" s="305">
        <f t="shared" si="43"/>
        <v>16886.476568478261</v>
      </c>
      <c r="AX29" s="304">
        <f t="shared" si="44"/>
        <v>0.51340000000000008</v>
      </c>
    </row>
    <row r="30" spans="2:55" x14ac:dyDescent="0.25">
      <c r="B30" s="360">
        <f t="shared" si="47"/>
        <v>47</v>
      </c>
      <c r="C30" s="278">
        <f t="shared" si="46"/>
        <v>0.70660000000000001</v>
      </c>
      <c r="D30" s="333"/>
      <c r="E30" s="279">
        <f t="shared" si="0"/>
        <v>26.67</v>
      </c>
      <c r="F30" s="280">
        <f t="shared" si="1"/>
        <v>0.56744680851063833</v>
      </c>
      <c r="G30" s="281">
        <f t="shared" si="45"/>
        <v>0.43255319148936167</v>
      </c>
      <c r="H30" s="282">
        <f t="shared" si="14"/>
        <v>1</v>
      </c>
      <c r="I30" s="285"/>
      <c r="J30" s="283">
        <f t="shared" si="3"/>
        <v>0.5334000000000001</v>
      </c>
      <c r="K30" s="284">
        <f t="shared" si="15"/>
        <v>2.0000000000000004E-2</v>
      </c>
      <c r="L30" s="285"/>
      <c r="M30" s="286">
        <f t="shared" si="38"/>
        <v>0.40095791489361704</v>
      </c>
      <c r="N30" s="329">
        <f t="shared" si="26"/>
        <v>1.5034042553191488E-2</v>
      </c>
      <c r="O30" s="288"/>
      <c r="P30" s="289">
        <f t="shared" si="27"/>
        <v>0.17319999999999991</v>
      </c>
      <c r="Q30" s="306">
        <f t="shared" si="40"/>
        <v>0.02</v>
      </c>
      <c r="R30" s="291"/>
      <c r="S30" s="292">
        <f t="shared" si="7"/>
        <v>0.30564208510638297</v>
      </c>
      <c r="T30" s="337">
        <f t="shared" si="8"/>
        <v>1.503404255319149E-2</v>
      </c>
      <c r="U30" s="338"/>
      <c r="V30" s="295">
        <f t="shared" si="22"/>
        <v>25251.201000000001</v>
      </c>
      <c r="W30" s="296">
        <f t="shared" si="11"/>
        <v>21420.975898723402</v>
      </c>
      <c r="X30" s="331">
        <f t="shared" si="12"/>
        <v>-3830.2251012765992</v>
      </c>
      <c r="Y30" s="338"/>
      <c r="Z30" s="298">
        <f t="shared" si="9"/>
        <v>0.94000000000000006</v>
      </c>
      <c r="AA30" s="293">
        <f t="shared" si="23"/>
        <v>0.70660000000000001</v>
      </c>
      <c r="AB30" s="338"/>
      <c r="AC30" s="299">
        <f t="shared" si="28"/>
        <v>2.0000000000000004E-2</v>
      </c>
      <c r="AD30" s="339">
        <f t="shared" si="29"/>
        <v>1.5034042553191488E-2</v>
      </c>
      <c r="AE30" s="340">
        <f t="shared" si="30"/>
        <v>-0.13244208510638306</v>
      </c>
      <c r="AF30" s="341">
        <f t="shared" si="31"/>
        <v>-0.24829787234042555</v>
      </c>
      <c r="AL30" s="342"/>
      <c r="AM30" s="342"/>
      <c r="AP30" s="154">
        <f t="shared" si="41"/>
        <v>20.329999999999998</v>
      </c>
      <c r="AQ30" s="304">
        <f t="shared" si="42"/>
        <v>0.43255319148936167</v>
      </c>
      <c r="AR30" s="155">
        <f t="shared" si="34"/>
        <v>0</v>
      </c>
      <c r="AT30" s="304"/>
      <c r="AU30" s="305">
        <f t="shared" si="43"/>
        <v>17171.022705319148</v>
      </c>
      <c r="AX30" s="304">
        <f t="shared" si="44"/>
        <v>0.5334000000000001</v>
      </c>
    </row>
    <row r="31" spans="2:55" x14ac:dyDescent="0.25">
      <c r="B31" s="360">
        <f t="shared" si="47"/>
        <v>48</v>
      </c>
      <c r="C31" s="278">
        <f t="shared" si="46"/>
        <v>0.70660000000000001</v>
      </c>
      <c r="D31" s="333"/>
      <c r="E31" s="279">
        <f t="shared" si="0"/>
        <v>27.67</v>
      </c>
      <c r="F31" s="280">
        <f t="shared" si="1"/>
        <v>0.57645833333333341</v>
      </c>
      <c r="G31" s="281">
        <f t="shared" si="45"/>
        <v>0.42354166666666665</v>
      </c>
      <c r="H31" s="282">
        <f t="shared" si="14"/>
        <v>1</v>
      </c>
      <c r="I31" s="285"/>
      <c r="J31" s="283">
        <f t="shared" si="3"/>
        <v>0.5534</v>
      </c>
      <c r="K31" s="284">
        <f t="shared" si="15"/>
        <v>0.02</v>
      </c>
      <c r="L31" s="285"/>
      <c r="M31" s="286">
        <f t="shared" si="38"/>
        <v>0.40732545833333339</v>
      </c>
      <c r="N31" s="329">
        <f t="shared" si="26"/>
        <v>1.4720833333333334E-2</v>
      </c>
      <c r="O31" s="288"/>
      <c r="P31" s="289">
        <f t="shared" si="27"/>
        <v>0.1532</v>
      </c>
      <c r="Q31" s="306">
        <f t="shared" si="40"/>
        <v>0.02</v>
      </c>
      <c r="R31" s="291"/>
      <c r="S31" s="292">
        <f t="shared" si="7"/>
        <v>0.29927454166666667</v>
      </c>
      <c r="T31" s="337">
        <f t="shared" si="8"/>
        <v>1.4720833333333334E-2</v>
      </c>
      <c r="U31" s="338"/>
      <c r="V31" s="295">
        <f t="shared" si="22"/>
        <v>25829.600999999999</v>
      </c>
      <c r="W31" s="296">
        <f t="shared" si="11"/>
        <v>21605.125254999999</v>
      </c>
      <c r="X31" s="331">
        <f t="shared" si="12"/>
        <v>-4224.4757449999997</v>
      </c>
      <c r="Y31" s="338"/>
      <c r="Z31" s="298">
        <f t="shared" si="9"/>
        <v>0.96</v>
      </c>
      <c r="AA31" s="293">
        <f t="shared" si="23"/>
        <v>0.70660000000000012</v>
      </c>
      <c r="AB31" s="338"/>
      <c r="AC31" s="299">
        <f t="shared" si="28"/>
        <v>0.02</v>
      </c>
      <c r="AD31" s="339">
        <f t="shared" si="29"/>
        <v>1.4720833333333334E-2</v>
      </c>
      <c r="AE31" s="340">
        <f t="shared" si="30"/>
        <v>-0.14607454166666661</v>
      </c>
      <c r="AF31" s="341">
        <f t="shared" si="31"/>
        <v>-0.26395833333333329</v>
      </c>
      <c r="AL31" s="342"/>
      <c r="AM31" s="342"/>
      <c r="AP31" s="154">
        <f t="shared" si="41"/>
        <v>20.329999999999998</v>
      </c>
      <c r="AQ31" s="304">
        <f t="shared" si="42"/>
        <v>0.42354166666666665</v>
      </c>
      <c r="AR31" s="155">
        <f t="shared" si="34"/>
        <v>0</v>
      </c>
      <c r="AT31" s="304"/>
      <c r="AU31" s="305">
        <f t="shared" si="43"/>
        <v>17443.712753125001</v>
      </c>
      <c r="AX31" s="304">
        <f t="shared" si="44"/>
        <v>0.5534</v>
      </c>
    </row>
    <row r="32" spans="2:55" x14ac:dyDescent="0.25">
      <c r="B32" s="360">
        <f t="shared" si="47"/>
        <v>49</v>
      </c>
      <c r="C32" s="278">
        <f t="shared" si="46"/>
        <v>0.70660000000000001</v>
      </c>
      <c r="D32" s="333"/>
      <c r="E32" s="279">
        <f t="shared" si="0"/>
        <v>28.67</v>
      </c>
      <c r="F32" s="280">
        <f t="shared" si="1"/>
        <v>0.58510204081632655</v>
      </c>
      <c r="G32" s="281">
        <f t="shared" si="45"/>
        <v>0.41489795918367345</v>
      </c>
      <c r="H32" s="282">
        <f t="shared" si="14"/>
        <v>1</v>
      </c>
      <c r="I32" s="285"/>
      <c r="J32" s="283">
        <f t="shared" si="3"/>
        <v>0.57340000000000002</v>
      </c>
      <c r="K32" s="284">
        <f t="shared" si="15"/>
        <v>0.02</v>
      </c>
      <c r="L32" s="285"/>
      <c r="M32" s="286">
        <f t="shared" si="38"/>
        <v>0.41343310204081635</v>
      </c>
      <c r="N32" s="329">
        <f t="shared" si="26"/>
        <v>1.4420408163265307E-2</v>
      </c>
      <c r="O32" s="288"/>
      <c r="P32" s="289">
        <f t="shared" si="27"/>
        <v>0.13319999999999999</v>
      </c>
      <c r="Q32" s="306">
        <f t="shared" si="40"/>
        <v>0.02</v>
      </c>
      <c r="R32" s="291"/>
      <c r="S32" s="292">
        <f t="shared" si="7"/>
        <v>0.29316689795918366</v>
      </c>
      <c r="T32" s="337">
        <f t="shared" si="8"/>
        <v>1.4420408163265307E-2</v>
      </c>
      <c r="U32" s="338"/>
      <c r="V32" s="295">
        <f t="shared" si="22"/>
        <v>26408.001</v>
      </c>
      <c r="W32" s="296">
        <f t="shared" si="11"/>
        <v>21781.75831102041</v>
      </c>
      <c r="X32" s="331">
        <f t="shared" si="12"/>
        <v>-4626.2426889795897</v>
      </c>
      <c r="Y32" s="338"/>
      <c r="Z32" s="298">
        <f t="shared" si="9"/>
        <v>0.98</v>
      </c>
      <c r="AA32" s="293">
        <f t="shared" si="23"/>
        <v>0.70660000000000001</v>
      </c>
      <c r="AB32" s="338"/>
      <c r="AC32" s="299">
        <f t="shared" si="28"/>
        <v>0.02</v>
      </c>
      <c r="AD32" s="339">
        <f t="shared" si="29"/>
        <v>1.4420408163265307E-2</v>
      </c>
      <c r="AE32" s="340">
        <f t="shared" si="30"/>
        <v>-0.15996689795918367</v>
      </c>
      <c r="AF32" s="341">
        <f t="shared" si="31"/>
        <v>-0.27897959183673471</v>
      </c>
      <c r="AL32" s="342"/>
      <c r="AM32" s="342"/>
      <c r="AP32" s="154">
        <f t="shared" si="41"/>
        <v>20.329999999999998</v>
      </c>
      <c r="AQ32" s="304">
        <f t="shared" si="42"/>
        <v>0.41489795918367345</v>
      </c>
      <c r="AR32" s="155">
        <f t="shared" si="34"/>
        <v>0</v>
      </c>
      <c r="AT32" s="304"/>
      <c r="AU32" s="305">
        <f t="shared" si="43"/>
        <v>17705.272594897961</v>
      </c>
      <c r="AX32" s="304">
        <f t="shared" si="44"/>
        <v>0.57340000000000002</v>
      </c>
    </row>
    <row r="33" spans="2:50" x14ac:dyDescent="0.25">
      <c r="B33" s="360">
        <f t="shared" si="47"/>
        <v>50</v>
      </c>
      <c r="C33" s="278">
        <f t="shared" si="46"/>
        <v>0.70660000000000001</v>
      </c>
      <c r="D33" s="333"/>
      <c r="E33" s="279">
        <f t="shared" si="0"/>
        <v>29.67</v>
      </c>
      <c r="F33" s="280">
        <f t="shared" si="1"/>
        <v>0.59340000000000004</v>
      </c>
      <c r="G33" s="281">
        <f t="shared" si="45"/>
        <v>0.40659999999999996</v>
      </c>
      <c r="H33" s="282">
        <f t="shared" si="14"/>
        <v>1</v>
      </c>
      <c r="I33" s="285"/>
      <c r="J33" s="283">
        <f t="shared" si="3"/>
        <v>0.59340000000000004</v>
      </c>
      <c r="K33" s="284">
        <f t="shared" si="15"/>
        <v>0.02</v>
      </c>
      <c r="L33" s="285"/>
      <c r="M33" s="286">
        <f t="shared" si="38"/>
        <v>0.41929644000000005</v>
      </c>
      <c r="N33" s="329">
        <f t="shared" si="26"/>
        <v>1.4132E-2</v>
      </c>
      <c r="O33" s="288"/>
      <c r="P33" s="289">
        <f t="shared" si="27"/>
        <v>0.11319999999999997</v>
      </c>
      <c r="Q33" s="306">
        <f t="shared" si="40"/>
        <v>0.02</v>
      </c>
      <c r="R33" s="291"/>
      <c r="S33" s="292">
        <f t="shared" si="7"/>
        <v>0.28730355999999996</v>
      </c>
      <c r="T33" s="337">
        <f t="shared" si="8"/>
        <v>1.4131999999999999E-2</v>
      </c>
      <c r="U33" s="338"/>
      <c r="V33" s="295">
        <f t="shared" si="22"/>
        <v>26986.401000000002</v>
      </c>
      <c r="W33" s="296">
        <f t="shared" si="11"/>
        <v>21951.3260448</v>
      </c>
      <c r="X33" s="331">
        <f t="shared" si="12"/>
        <v>-5035.0749552000016</v>
      </c>
      <c r="Y33" s="338"/>
      <c r="Z33" s="298">
        <f t="shared" si="9"/>
        <v>1</v>
      </c>
      <c r="AA33" s="293">
        <f t="shared" si="23"/>
        <v>0.70660000000000001</v>
      </c>
      <c r="AB33" s="338"/>
      <c r="AC33" s="325">
        <f t="shared" si="28"/>
        <v>0.02</v>
      </c>
      <c r="AD33" s="339">
        <f t="shared" si="29"/>
        <v>1.4132E-2</v>
      </c>
      <c r="AE33" s="340">
        <f t="shared" si="30"/>
        <v>-0.17410355999999999</v>
      </c>
      <c r="AF33" s="341">
        <f t="shared" si="31"/>
        <v>-0.29339999999999999</v>
      </c>
      <c r="AL33" s="342"/>
      <c r="AM33" s="342"/>
      <c r="AP33" s="154">
        <f t="shared" si="41"/>
        <v>20.329999999999998</v>
      </c>
      <c r="AQ33" s="304">
        <f t="shared" si="42"/>
        <v>0.40659999999999996</v>
      </c>
      <c r="AR33" s="155">
        <f t="shared" si="34"/>
        <v>0</v>
      </c>
      <c r="AT33" s="304"/>
      <c r="AU33" s="305">
        <f t="shared" si="43"/>
        <v>17956.370043000003</v>
      </c>
      <c r="AX33" s="304">
        <f t="shared" si="44"/>
        <v>0.59340000000000004</v>
      </c>
    </row>
    <row r="34" spans="2:50" x14ac:dyDescent="0.25">
      <c r="B34" s="203">
        <v>55</v>
      </c>
      <c r="C34" s="278">
        <f t="shared" si="46"/>
        <v>0.70660000000000001</v>
      </c>
      <c r="D34" s="333"/>
      <c r="E34" s="279">
        <f t="shared" si="0"/>
        <v>34.67</v>
      </c>
      <c r="F34" s="280">
        <f t="shared" si="1"/>
        <v>0.63036363636363635</v>
      </c>
      <c r="G34" s="281">
        <f t="shared" si="45"/>
        <v>0.3696363636363636</v>
      </c>
      <c r="H34" s="282">
        <f t="shared" si="14"/>
        <v>1</v>
      </c>
      <c r="I34" s="285"/>
      <c r="J34" s="283">
        <f t="shared" si="3"/>
        <v>0.69340000000000002</v>
      </c>
      <c r="K34" s="284">
        <f t="shared" si="15"/>
        <v>0.02</v>
      </c>
      <c r="L34" s="285"/>
      <c r="M34" s="286">
        <f t="shared" si="38"/>
        <v>0.44541494545454546</v>
      </c>
      <c r="N34" s="329">
        <f t="shared" si="26"/>
        <v>1.2847272727272726E-2</v>
      </c>
      <c r="O34" s="288"/>
      <c r="P34" s="289">
        <f t="shared" si="27"/>
        <v>1.319999999999999E-2</v>
      </c>
      <c r="Q34" s="290">
        <f t="shared" si="6"/>
        <v>6.4928676832267534E-4</v>
      </c>
      <c r="R34" s="291"/>
      <c r="S34" s="292">
        <f t="shared" si="7"/>
        <v>0.26118505454545454</v>
      </c>
      <c r="T34" s="337">
        <f t="shared" si="8"/>
        <v>1.2847272727272728E-2</v>
      </c>
      <c r="U34" s="338"/>
      <c r="V34" s="295">
        <f t="shared" si="22"/>
        <v>29878.400999999998</v>
      </c>
      <c r="W34" s="296">
        <f t="shared" si="11"/>
        <v>22706.673222545454</v>
      </c>
      <c r="X34" s="331">
        <f t="shared" si="12"/>
        <v>-7171.7277774545437</v>
      </c>
      <c r="Y34" s="338"/>
      <c r="Z34" s="298">
        <f t="shared" si="9"/>
        <v>3.5710772257747145E-2</v>
      </c>
      <c r="AA34" s="293">
        <f t="shared" si="23"/>
        <v>0.70660000000000001</v>
      </c>
      <c r="AB34" s="338"/>
      <c r="AC34" s="299">
        <f t="shared" si="28"/>
        <v>0.02</v>
      </c>
      <c r="AD34" s="339">
        <f t="shared" si="29"/>
        <v>1.2847272727272726E-2</v>
      </c>
      <c r="AE34" s="340">
        <f t="shared" si="30"/>
        <v>-0.24798505454545455</v>
      </c>
      <c r="AF34" s="341">
        <f t="shared" si="31"/>
        <v>-0.35763636363636375</v>
      </c>
      <c r="AL34" s="342"/>
    </row>
    <row r="35" spans="2:50" x14ac:dyDescent="0.25">
      <c r="B35" s="203">
        <v>60</v>
      </c>
      <c r="C35" s="278">
        <f t="shared" si="46"/>
        <v>0.70660000000000001</v>
      </c>
      <c r="D35" s="333"/>
      <c r="E35" s="279">
        <f t="shared" si="0"/>
        <v>39.67</v>
      </c>
      <c r="F35" s="280">
        <f t="shared" si="1"/>
        <v>0.66116666666666668</v>
      </c>
      <c r="G35" s="281">
        <f t="shared" si="45"/>
        <v>0.33883333333333332</v>
      </c>
      <c r="H35" s="282">
        <f t="shared" si="14"/>
        <v>1</v>
      </c>
      <c r="I35" s="285"/>
      <c r="J35" s="283">
        <f t="shared" si="3"/>
        <v>0.79340000000000011</v>
      </c>
      <c r="K35" s="284">
        <f t="shared" si="15"/>
        <v>0.02</v>
      </c>
      <c r="L35" s="285"/>
      <c r="M35" s="286">
        <f t="shared" si="38"/>
        <v>0.46718036666666668</v>
      </c>
      <c r="N35" s="329">
        <f t="shared" si="26"/>
        <v>1.1776666666666666E-2</v>
      </c>
      <c r="O35" s="288"/>
      <c r="P35" s="289">
        <f t="shared" si="27"/>
        <v>-8.6800000000000099E-2</v>
      </c>
      <c r="Q35" s="290">
        <f t="shared" si="6"/>
        <v>-4.2695523856369948E-3</v>
      </c>
      <c r="R35" s="291"/>
      <c r="S35" s="292">
        <f t="shared" si="7"/>
        <v>0.23941963333333333</v>
      </c>
      <c r="T35" s="337">
        <f t="shared" si="8"/>
        <v>1.1776666666666668E-2</v>
      </c>
      <c r="U35" s="338"/>
      <c r="V35" s="295">
        <f t="shared" si="22"/>
        <v>32770.401000000005</v>
      </c>
      <c r="W35" s="296">
        <f t="shared" si="11"/>
        <v>23336.129203999997</v>
      </c>
      <c r="X35" s="331">
        <f t="shared" si="12"/>
        <v>-9434.2717960000082</v>
      </c>
      <c r="Y35" s="338"/>
      <c r="Z35" s="298">
        <f t="shared" si="9"/>
        <v>-0.25617314313821971</v>
      </c>
      <c r="AA35" s="293">
        <f t="shared" si="23"/>
        <v>0.70660000000000001</v>
      </c>
      <c r="AB35" s="338"/>
      <c r="AC35" s="299">
        <f t="shared" si="28"/>
        <v>0.02</v>
      </c>
      <c r="AD35" s="339">
        <f t="shared" si="29"/>
        <v>1.1776666666666666E-2</v>
      </c>
      <c r="AE35" s="340">
        <f t="shared" si="30"/>
        <v>-0.32621963333333343</v>
      </c>
      <c r="AF35" s="341">
        <f t="shared" si="31"/>
        <v>-0.41116666666666668</v>
      </c>
      <c r="AL35" s="342"/>
    </row>
    <row r="36" spans="2:50" x14ac:dyDescent="0.25">
      <c r="B36" s="203">
        <v>65</v>
      </c>
      <c r="C36" s="278">
        <f t="shared" si="46"/>
        <v>0.70660000000000001</v>
      </c>
      <c r="D36" s="333"/>
      <c r="E36" s="279">
        <f t="shared" si="0"/>
        <v>44.67</v>
      </c>
      <c r="F36" s="280">
        <f t="shared" si="1"/>
        <v>0.68723076923076931</v>
      </c>
      <c r="G36" s="281">
        <f t="shared" si="45"/>
        <v>0.31276923076923074</v>
      </c>
      <c r="H36" s="282">
        <f t="shared" si="14"/>
        <v>1</v>
      </c>
      <c r="I36" s="285"/>
      <c r="J36" s="283">
        <f t="shared" si="3"/>
        <v>0.89340000000000008</v>
      </c>
      <c r="K36" s="284">
        <f t="shared" si="15"/>
        <v>0.02</v>
      </c>
      <c r="L36" s="285"/>
      <c r="M36" s="286">
        <f t="shared" si="38"/>
        <v>0.48559726153846161</v>
      </c>
      <c r="N36" s="329">
        <f t="shared" si="26"/>
        <v>1.0870769230769232E-2</v>
      </c>
      <c r="O36" s="288"/>
      <c r="P36" s="289">
        <f t="shared" si="27"/>
        <v>-0.18680000000000008</v>
      </c>
      <c r="Q36" s="290">
        <f t="shared" si="6"/>
        <v>-9.1883915395966596E-3</v>
      </c>
      <c r="R36" s="291"/>
      <c r="S36" s="292">
        <f t="shared" si="7"/>
        <v>0.22100273846153845</v>
      </c>
      <c r="T36" s="337">
        <f t="shared" si="8"/>
        <v>1.0870769230769231E-2</v>
      </c>
      <c r="U36" s="338"/>
      <c r="V36" s="295">
        <f t="shared" si="22"/>
        <v>35662.401000000005</v>
      </c>
      <c r="W36" s="296">
        <f t="shared" si="11"/>
        <v>23868.745803692309</v>
      </c>
      <c r="X36" s="331">
        <f t="shared" si="12"/>
        <v>-11793.655196307696</v>
      </c>
      <c r="Y36" s="338"/>
      <c r="Z36" s="298">
        <f t="shared" si="9"/>
        <v>-0.59724545007378282</v>
      </c>
      <c r="AA36" s="293">
        <f t="shared" si="23"/>
        <v>0.70660000000000012</v>
      </c>
      <c r="AB36" s="338"/>
      <c r="AC36" s="299">
        <f t="shared" si="28"/>
        <v>0.02</v>
      </c>
      <c r="AD36" s="339">
        <f t="shared" si="29"/>
        <v>1.0870769230769232E-2</v>
      </c>
      <c r="AE36" s="340">
        <f t="shared" si="30"/>
        <v>-0.40780273846153847</v>
      </c>
      <c r="AF36" s="341">
        <f t="shared" si="31"/>
        <v>-0.45646153846153836</v>
      </c>
      <c r="AL36" s="342"/>
    </row>
    <row r="37" spans="2:50" ht="14.4" thickBot="1" x14ac:dyDescent="0.3">
      <c r="B37" s="203">
        <v>70</v>
      </c>
      <c r="C37" s="278">
        <f t="shared" si="46"/>
        <v>0.70660000000000001</v>
      </c>
      <c r="D37" s="333"/>
      <c r="E37" s="265">
        <f t="shared" si="0"/>
        <v>49.67</v>
      </c>
      <c r="F37" s="361">
        <f t="shared" si="1"/>
        <v>0.70957142857142863</v>
      </c>
      <c r="G37" s="362">
        <f t="shared" si="45"/>
        <v>0.29042857142857142</v>
      </c>
      <c r="H37" s="363">
        <f t="shared" si="14"/>
        <v>1</v>
      </c>
      <c r="I37" s="285"/>
      <c r="J37" s="283">
        <f t="shared" si="3"/>
        <v>0.99340000000000006</v>
      </c>
      <c r="K37" s="284">
        <f t="shared" si="15"/>
        <v>0.02</v>
      </c>
      <c r="L37" s="285"/>
      <c r="M37" s="286">
        <f t="shared" si="38"/>
        <v>0.50138317142857147</v>
      </c>
      <c r="N37" s="364">
        <f t="shared" si="26"/>
        <v>1.0094285714285715E-2</v>
      </c>
      <c r="O37" s="288"/>
      <c r="P37" s="289">
        <f t="shared" si="27"/>
        <v>-0.28680000000000005</v>
      </c>
      <c r="Q37" s="290">
        <f t="shared" si="6"/>
        <v>-1.4107230693556325E-2</v>
      </c>
      <c r="R37" s="291"/>
      <c r="S37" s="292">
        <f t="shared" si="7"/>
        <v>0.20521682857142856</v>
      </c>
      <c r="T37" s="337">
        <f t="shared" si="8"/>
        <v>1.0094285714285715E-2</v>
      </c>
      <c r="U37" s="338"/>
      <c r="V37" s="295">
        <f t="shared" si="22"/>
        <v>38554.401000000005</v>
      </c>
      <c r="W37" s="296">
        <f t="shared" si="11"/>
        <v>24325.274317714287</v>
      </c>
      <c r="X37" s="331">
        <f t="shared" si="12"/>
        <v>-14229.126682285718</v>
      </c>
      <c r="Y37" s="338"/>
      <c r="Z37" s="298">
        <f t="shared" si="9"/>
        <v>-0.98750614854894281</v>
      </c>
      <c r="AA37" s="293">
        <f t="shared" si="23"/>
        <v>0.70660000000000001</v>
      </c>
      <c r="AB37" s="338"/>
      <c r="AC37" s="299">
        <f t="shared" si="28"/>
        <v>0.02</v>
      </c>
      <c r="AD37" s="339">
        <f t="shared" si="29"/>
        <v>1.0094285714285715E-2</v>
      </c>
      <c r="AE37" s="340">
        <f t="shared" si="30"/>
        <v>-0.49201682857142859</v>
      </c>
      <c r="AF37" s="341">
        <f t="shared" si="31"/>
        <v>-0.49528571428571422</v>
      </c>
      <c r="AL37" s="342"/>
    </row>
    <row r="38" spans="2:50" x14ac:dyDescent="0.25">
      <c r="B38" s="155"/>
      <c r="C38" s="333"/>
      <c r="D38" s="333"/>
      <c r="AF38" s="225"/>
    </row>
    <row r="40" spans="2:50" x14ac:dyDescent="0.25">
      <c r="J40" s="285" t="s">
        <v>20</v>
      </c>
      <c r="K40" s="285"/>
      <c r="L40" s="285"/>
      <c r="M40" s="288" t="s">
        <v>20</v>
      </c>
      <c r="N40" s="28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H x 7 W 6 7 f z U e k A A A A 9 g A A A B I A H A B D b 2 5 m a W c v U G F j a 2 F n Z S 5 4 b W w g o h g A K K A U A A A A A A A A A A A A A A A A A A A A A A A A A A A A h Y 8 x D o I w G I W v Q r r T l u p A y E 8 Z n E w g M T E x r k 2 p 0 A D F 0 G K 5 m 4 N H 8 g p i F H V z f N / 7 h v f u 1 x t k U 9 c G F z V Y 3 Z s U R Z i i Q B n Z l 9 p U K R r d K Y x R x m E n Z C M q F c y y s c l k y x T V z p 0 T Q r z 3 2 K 9 w P 1 S E U R q R Y 5 H v Z a 0 6 g T 6 y / i + H 2 l g n j F S I w + E 1 h j M c r W P M 6 L w J y A K h 0 O Y r s L l 7 t j 8 Q N m P r x k H x W o X b H M g S g b w / 8 A d Q S w M E F A A C A A g A U H x 7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B 8 e 1 s o i k e 4 D g A A A B E A A A A T A B w A R m 9 y b X V s Y X M v U 2 V j d G l v b j E u b S C i G A A o o B Q A A A A A A A A A A A A A A A A A A A A A A A A A A A A r T k 0 u y c z P U w i G 0 I b W A F B L A Q I t A B Q A A g A I A F B 8 e 1 u u 3 8 1 H p A A A A P Y A A A A S A A A A A A A A A A A A A A A A A A A A A A B D b 2 5 m a W c v U G F j a 2 F n Z S 5 4 b W x Q S w E C L Q A U A A I A C A B Q f H t b D 8 r p q 6 Q A A A D p A A A A E w A A A A A A A A A A A A A A A A D w A A A A W 0 N v b n R l b n R f V H l w Z X N d L n h t b F B L A Q I t A B Q A A g A I A F B 8 e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t B R z K a o m 5 S b T k N D W o 7 f 5 k A A A A A A I A A A A A A B B m A A A A A Q A A I A A A A D B L h 9 / g o 2 2 i i v M 0 C 1 S I z R Z 6 f E w C 4 j 7 r J R J y X t c O s o x i A A A A A A 6 A A A A A A g A A I A A A A M 5 T 1 C J E o 2 S I Y P S i f X 0 0 9 B 6 s 8 M V o J t H A I j G t V R 7 R G l U y U A A A A G O c m 0 i w n C d P r c x R t s f Q d n 5 R s e P J u s b Q Q C K d u A F m W W V M h v H Z s P / W 5 F E F 8 r 4 G A g 8 l 2 t I v W R J O L D c i i x J s u r J z e G U t / A D e m B / g B p Y A x u 6 R j 7 9 9 Q A A A A A c 1 + d I X J A c y W M i w 4 s j B o H v q Q x B q 9 u q g a 3 S n E w 2 D Y 4 2 3 1 m k R Q N o X C 6 U f F y W P z N m M 7 B u D J 3 6 a L b M T q L s 1 A 7 0 B 2 X E = < / D a t a M a s h u p > 
</file>

<file path=customXml/itemProps1.xml><?xml version="1.0" encoding="utf-8"?>
<ds:datastoreItem xmlns:ds="http://schemas.openxmlformats.org/officeDocument/2006/customXml" ds:itemID="{63F3758C-063A-4873-ABCD-AFC490FDE2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</vt:i4>
      </vt:variant>
    </vt:vector>
  </HeadingPairs>
  <TitlesOfParts>
    <vt:vector size="7" baseType="lpstr">
      <vt:lpstr>פנסיה כ.מינוי+חוזה (4)</vt:lpstr>
      <vt:lpstr>גרפים</vt:lpstr>
      <vt:lpstr>סימולטור חוזה.נש"מ</vt:lpstr>
      <vt:lpstr>סימולטור פתיחה חוזה.נש"מ (2)</vt:lpstr>
      <vt:lpstr>נוסחת אהרונוב</vt:lpstr>
      <vt:lpstr>דוגמאות מסימולטור</vt:lpstr>
      <vt:lpstr>גרפים!WPrint_Area_W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שמעון</dc:creator>
  <cp:lastModifiedBy>שמעון</cp:lastModifiedBy>
  <cp:lastPrinted>2025-11-29T21:15:15Z</cp:lastPrinted>
  <dcterms:created xsi:type="dcterms:W3CDTF">2025-11-20T12:34:30Z</dcterms:created>
  <dcterms:modified xsi:type="dcterms:W3CDTF">2025-11-29T21:17:52Z</dcterms:modified>
</cp:coreProperties>
</file>