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mon\Google Drive\P\myself\גמלאות\חישוב פנסיה\"/>
    </mc:Choice>
  </mc:AlternateContent>
  <bookViews>
    <workbookView xWindow="0" yWindow="0" windowWidth="15765" windowHeight="7800"/>
  </bookViews>
  <sheets>
    <sheet name="סכומי התביעה" sheetId="5" r:id="rId1"/>
    <sheet name="חישוב עד 31.7.2012" sheetId="1" r:id="rId2"/>
    <sheet name="חישוב עד 31.3.2014 " sheetId="3" r:id="rId3"/>
  </sheets>
  <definedNames>
    <definedName name="_xlnm.Print_Area" localSheetId="0">'סכומי התביעה'!$A$1:$L$50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L6" i="5"/>
  <c r="N26" i="5"/>
  <c r="N23" i="5"/>
  <c r="N24" i="5" s="1"/>
  <c r="N25" i="5" s="1"/>
  <c r="N22" i="5"/>
  <c r="D27" i="5"/>
  <c r="D25" i="5"/>
  <c r="D24" i="5"/>
  <c r="G24" i="5" s="1"/>
  <c r="H32" i="3"/>
  <c r="G31" i="3"/>
  <c r="I34" i="3"/>
  <c r="I33" i="3"/>
  <c r="O22" i="3"/>
  <c r="O19" i="3"/>
  <c r="O18" i="3"/>
  <c r="D46" i="5"/>
  <c r="G25" i="5"/>
  <c r="L5" i="5"/>
  <c r="D44" i="5" s="1"/>
  <c r="H30" i="3"/>
  <c r="A46" i="5"/>
  <c r="G46" i="5"/>
  <c r="L3" i="5"/>
  <c r="L4" i="5"/>
  <c r="H31" i="3"/>
  <c r="H29" i="3"/>
  <c r="H28" i="3"/>
  <c r="I77" i="1"/>
  <c r="L15" i="5"/>
  <c r="I5" i="5"/>
  <c r="I4" i="5"/>
  <c r="H4" i="5"/>
  <c r="H5" i="5"/>
  <c r="O20" i="3" l="1"/>
  <c r="D43" i="5"/>
  <c r="I6" i="5"/>
  <c r="B15" i="5"/>
  <c r="B34" i="5" s="1"/>
  <c r="B43" i="5"/>
  <c r="B44" i="5"/>
  <c r="I40" i="1"/>
  <c r="I39" i="1"/>
  <c r="I38" i="1"/>
  <c r="I31" i="1"/>
  <c r="I30" i="1"/>
  <c r="I29" i="1"/>
  <c r="I23" i="1"/>
  <c r="D40" i="5"/>
  <c r="D47" i="5" s="1"/>
  <c r="D39" i="5"/>
  <c r="G39" i="5" s="1"/>
  <c r="H40" i="5"/>
  <c r="H44" i="5" s="1"/>
  <c r="H47" i="5" s="1"/>
  <c r="H35" i="5"/>
  <c r="H39" i="5" s="1"/>
  <c r="H43" i="5" s="1"/>
  <c r="H46" i="5" s="1"/>
  <c r="F10" i="3"/>
  <c r="G72" i="3" s="1"/>
  <c r="H21" i="5"/>
  <c r="H25" i="5" s="1"/>
  <c r="H28" i="5" s="1"/>
  <c r="D28" i="5" l="1"/>
  <c r="G47" i="5"/>
  <c r="B16" i="5"/>
  <c r="B17" i="5"/>
  <c r="B21" i="5" s="1"/>
  <c r="B38" i="5"/>
  <c r="G40" i="5"/>
  <c r="B39" i="5" l="1"/>
  <c r="B40" i="5" s="1"/>
  <c r="B25" i="5"/>
  <c r="B35" i="5"/>
  <c r="B20" i="5"/>
  <c r="B36" i="5"/>
  <c r="B24" i="5"/>
  <c r="H16" i="5"/>
  <c r="H20" i="5" s="1"/>
  <c r="H24" i="5" s="1"/>
  <c r="H27" i="5" s="1"/>
  <c r="F4" i="5"/>
  <c r="N90" i="3"/>
  <c r="Q91" i="3" s="1"/>
  <c r="L86" i="3"/>
  <c r="N79" i="3"/>
  <c r="L75" i="3"/>
  <c r="D78" i="3"/>
  <c r="D90" i="3" s="1"/>
  <c r="L35" i="3"/>
  <c r="L26" i="3"/>
  <c r="F18" i="1"/>
  <c r="G2" i="1"/>
  <c r="J6" i="3"/>
  <c r="H22" i="3" s="1"/>
  <c r="D36" i="5" l="1"/>
  <c r="D35" i="5"/>
  <c r="E43" i="1"/>
  <c r="E68" i="1"/>
  <c r="E56" i="1"/>
  <c r="E83" i="1"/>
  <c r="E93" i="1"/>
  <c r="I18" i="3"/>
  <c r="I17" i="3" s="1"/>
  <c r="H41" i="3" s="1"/>
  <c r="M13" i="1"/>
  <c r="G13" i="1"/>
  <c r="M77" i="1"/>
  <c r="P78" i="1" s="1"/>
  <c r="M78" i="1"/>
  <c r="P79" i="1" s="1"/>
  <c r="M50" i="1"/>
  <c r="M11" i="1"/>
  <c r="L8" i="1"/>
  <c r="L6" i="1"/>
  <c r="W8" i="1"/>
  <c r="G10" i="1"/>
  <c r="X8" i="1"/>
  <c r="C17" i="3"/>
  <c r="I18" i="1"/>
  <c r="D30" i="1" s="1"/>
  <c r="D51" i="1" s="1"/>
  <c r="D78" i="1" s="1"/>
  <c r="L78" i="1" s="1"/>
  <c r="F9" i="3"/>
  <c r="C63" i="3"/>
  <c r="C90" i="3" s="1"/>
  <c r="C12" i="3"/>
  <c r="C10" i="3"/>
  <c r="C7" i="3"/>
  <c r="C9" i="3" s="1"/>
  <c r="E77" i="1"/>
  <c r="E87" i="1" s="1"/>
  <c r="H87" i="1" s="1"/>
  <c r="E50" i="1"/>
  <c r="F50" i="1" s="1"/>
  <c r="D63" i="1"/>
  <c r="D88" i="1" s="1"/>
  <c r="L88" i="1" s="1"/>
  <c r="H39" i="1"/>
  <c r="H38" i="1"/>
  <c r="F39" i="1"/>
  <c r="H30" i="1"/>
  <c r="H29" i="1"/>
  <c r="F38" i="1"/>
  <c r="D6" i="1"/>
  <c r="D13" i="1" s="1"/>
  <c r="D9" i="1"/>
  <c r="D8" i="1"/>
  <c r="G11" i="1"/>
  <c r="F29" i="1"/>
  <c r="M14" i="1" l="1"/>
  <c r="N12" i="1" s="1"/>
  <c r="K73" i="1"/>
  <c r="P51" i="1"/>
  <c r="H6" i="1"/>
  <c r="W7" i="1" s="1"/>
  <c r="E73" i="1"/>
  <c r="I22" i="1"/>
  <c r="I24" i="1" s="1"/>
  <c r="I26" i="1" s="1"/>
  <c r="F5" i="5"/>
  <c r="D17" i="5"/>
  <c r="G17" i="5" s="1"/>
  <c r="D21" i="5"/>
  <c r="G21" i="5" s="1"/>
  <c r="E72" i="3"/>
  <c r="D20" i="5"/>
  <c r="G20" i="5" s="1"/>
  <c r="D16" i="5"/>
  <c r="G16" i="5" s="1"/>
  <c r="F11" i="3"/>
  <c r="F13" i="3" s="1"/>
  <c r="F22" i="3" s="1"/>
  <c r="L11" i="1"/>
  <c r="L14" i="1" s="1"/>
  <c r="L13" i="1"/>
  <c r="N78" i="1"/>
  <c r="M79" i="1"/>
  <c r="M87" i="1"/>
  <c r="M51" i="1"/>
  <c r="P52" i="1" s="1"/>
  <c r="M88" i="1"/>
  <c r="P89" i="1" s="1"/>
  <c r="L51" i="1"/>
  <c r="P80" i="1"/>
  <c r="N77" i="1"/>
  <c r="N8" i="1"/>
  <c r="O8" i="1" s="1"/>
  <c r="N50" i="1"/>
  <c r="N6" i="1"/>
  <c r="H9" i="1"/>
  <c r="I9" i="1" s="1"/>
  <c r="H50" i="1"/>
  <c r="E62" i="1"/>
  <c r="H62" i="1" s="1"/>
  <c r="E51" i="1"/>
  <c r="E52" i="1" s="1"/>
  <c r="D77" i="3"/>
  <c r="D51" i="3"/>
  <c r="D52" i="3" s="1"/>
  <c r="H31" i="1"/>
  <c r="H77" i="1"/>
  <c r="C11" i="3"/>
  <c r="C13" i="3" s="1"/>
  <c r="C29" i="3"/>
  <c r="C52" i="3" s="1"/>
  <c r="C78" i="3" s="1"/>
  <c r="E88" i="1"/>
  <c r="H88" i="1" s="1"/>
  <c r="H89" i="1" s="1"/>
  <c r="G14" i="1"/>
  <c r="H12" i="1" s="1"/>
  <c r="H8" i="1"/>
  <c r="W9" i="1" s="1"/>
  <c r="E78" i="1"/>
  <c r="F78" i="1" s="1"/>
  <c r="F87" i="1"/>
  <c r="F77" i="1"/>
  <c r="H40" i="1"/>
  <c r="G40" i="1"/>
  <c r="D11" i="1"/>
  <c r="D14" i="1" s="1"/>
  <c r="G36" i="5" l="1"/>
  <c r="G35" i="5"/>
  <c r="I46" i="5"/>
  <c r="I47" i="5"/>
  <c r="F6" i="5"/>
  <c r="G31" i="5" s="1"/>
  <c r="P53" i="1"/>
  <c r="N13" i="1"/>
  <c r="O13" i="1" s="1"/>
  <c r="M52" i="1"/>
  <c r="H51" i="1"/>
  <c r="H52" i="1" s="1"/>
  <c r="I6" i="1"/>
  <c r="X7" i="1" s="1"/>
  <c r="D2" i="1"/>
  <c r="E40" i="3"/>
  <c r="I43" i="5"/>
  <c r="A47" i="5"/>
  <c r="I9" i="3"/>
  <c r="J9" i="3" s="1"/>
  <c r="N38" i="3" s="1"/>
  <c r="O38" i="3" s="1"/>
  <c r="G9" i="3"/>
  <c r="G77" i="3"/>
  <c r="N78" i="3"/>
  <c r="I10" i="3"/>
  <c r="E77" i="3"/>
  <c r="D89" i="3"/>
  <c r="N51" i="1"/>
  <c r="O52" i="1" s="1"/>
  <c r="O79" i="1"/>
  <c r="M89" i="1"/>
  <c r="N87" i="1"/>
  <c r="P88" i="1"/>
  <c r="P90" i="1" s="1"/>
  <c r="N88" i="1"/>
  <c r="H13" i="1"/>
  <c r="I13" i="1" s="1"/>
  <c r="M30" i="1"/>
  <c r="M39" i="1"/>
  <c r="O6" i="1"/>
  <c r="Q6" i="1" s="1"/>
  <c r="N11" i="1"/>
  <c r="F62" i="1"/>
  <c r="E63" i="1"/>
  <c r="H63" i="1" s="1"/>
  <c r="H64" i="1" s="1"/>
  <c r="I8" i="1"/>
  <c r="H10" i="1"/>
  <c r="W11" i="1" s="1"/>
  <c r="H78" i="1"/>
  <c r="H79" i="1" s="1"/>
  <c r="E52" i="3"/>
  <c r="E89" i="1"/>
  <c r="F88" i="1"/>
  <c r="G89" i="1" s="1"/>
  <c r="C18" i="3"/>
  <c r="G12" i="3"/>
  <c r="H12" i="3" s="1"/>
  <c r="G10" i="3"/>
  <c r="H10" i="3" s="1"/>
  <c r="G52" i="3"/>
  <c r="E79" i="1"/>
  <c r="G79" i="1"/>
  <c r="Q38" i="3" l="1"/>
  <c r="I36" i="5"/>
  <c r="N29" i="3"/>
  <c r="O29" i="3" s="1"/>
  <c r="O80" i="1"/>
  <c r="O81" i="1" s="1"/>
  <c r="I35" i="5"/>
  <c r="G43" i="5"/>
  <c r="G44" i="5"/>
  <c r="E89" i="3"/>
  <c r="N89" i="3"/>
  <c r="H9" i="3"/>
  <c r="H13" i="3" s="1"/>
  <c r="O78" i="3"/>
  <c r="Q78" i="3"/>
  <c r="Q79" i="3"/>
  <c r="Q80" i="3" s="1"/>
  <c r="N80" i="3"/>
  <c r="D17" i="3"/>
  <c r="G17" i="3" s="1"/>
  <c r="M79" i="3"/>
  <c r="O79" i="3" s="1"/>
  <c r="P80" i="3" s="1"/>
  <c r="D29" i="3"/>
  <c r="D38" i="3" s="1"/>
  <c r="I11" i="3"/>
  <c r="J10" i="3"/>
  <c r="G13" i="3"/>
  <c r="G89" i="3"/>
  <c r="D28" i="3"/>
  <c r="E92" i="3"/>
  <c r="E80" i="3"/>
  <c r="R6" i="1"/>
  <c r="O89" i="1"/>
  <c r="O90" i="1" s="1"/>
  <c r="O91" i="1" s="1"/>
  <c r="O11" i="1"/>
  <c r="M38" i="1"/>
  <c r="M40" i="1" s="1"/>
  <c r="M29" i="1"/>
  <c r="M31" i="1" s="1"/>
  <c r="E64" i="1"/>
  <c r="I10" i="1"/>
  <c r="Q8" i="1" s="1"/>
  <c r="R8" i="1" s="1"/>
  <c r="X9" i="1"/>
  <c r="F63" i="1"/>
  <c r="D16" i="3"/>
  <c r="G16" i="3" s="1"/>
  <c r="G51" i="3"/>
  <c r="G53" i="3" s="1"/>
  <c r="D62" i="3"/>
  <c r="E51" i="3"/>
  <c r="F53" i="3" s="1"/>
  <c r="I21" i="5" s="1"/>
  <c r="D53" i="3"/>
  <c r="M30" i="3"/>
  <c r="P40" i="1"/>
  <c r="P31" i="1"/>
  <c r="Q29" i="3" l="1"/>
  <c r="G64" i="1"/>
  <c r="G18" i="3"/>
  <c r="M39" i="3" s="1"/>
  <c r="N91" i="3"/>
  <c r="Q90" i="3"/>
  <c r="Q92" i="3" s="1"/>
  <c r="O89" i="3"/>
  <c r="M90" i="3"/>
  <c r="O90" i="3" s="1"/>
  <c r="G29" i="3"/>
  <c r="E29" i="3"/>
  <c r="J11" i="3"/>
  <c r="N30" i="3" s="1"/>
  <c r="Q30" i="3" s="1"/>
  <c r="Q31" i="3" s="1"/>
  <c r="N39" i="3"/>
  <c r="D30" i="3"/>
  <c r="G28" i="3"/>
  <c r="D37" i="3"/>
  <c r="G37" i="3" s="1"/>
  <c r="G38" i="3"/>
  <c r="E38" i="3"/>
  <c r="E28" i="3"/>
  <c r="R10" i="1"/>
  <c r="R11" i="1" s="1"/>
  <c r="I11" i="1"/>
  <c r="X12" i="1" s="1"/>
  <c r="X11" i="1"/>
  <c r="D18" i="3"/>
  <c r="G62" i="3"/>
  <c r="D63" i="3"/>
  <c r="D64" i="3" s="1"/>
  <c r="E62" i="3"/>
  <c r="P30" i="1"/>
  <c r="P32" i="1" s="1"/>
  <c r="G30" i="3" l="1"/>
  <c r="E65" i="3"/>
  <c r="I39" i="5"/>
  <c r="P91" i="3"/>
  <c r="N31" i="3"/>
  <c r="E37" i="3"/>
  <c r="F39" i="3" s="1"/>
  <c r="Q39" i="3"/>
  <c r="Q40" i="3" s="1"/>
  <c r="N40" i="3"/>
  <c r="O30" i="3"/>
  <c r="P31" i="3" s="1"/>
  <c r="F30" i="3"/>
  <c r="O39" i="3"/>
  <c r="P40" i="3" s="1"/>
  <c r="G39" i="3"/>
  <c r="N29" i="1"/>
  <c r="G63" i="3"/>
  <c r="G64" i="3" s="1"/>
  <c r="E63" i="3"/>
  <c r="F64" i="3" s="1"/>
  <c r="I20" i="5" s="1"/>
  <c r="P39" i="1"/>
  <c r="P41" i="1" s="1"/>
  <c r="N38" i="1"/>
  <c r="F56" i="3" l="1"/>
  <c r="H57" i="3" s="1"/>
  <c r="I25" i="5"/>
  <c r="I28" i="5" s="1"/>
  <c r="E41" i="3"/>
  <c r="I24" i="5"/>
  <c r="F42" i="3"/>
  <c r="F57" i="3"/>
  <c r="P32" i="3"/>
  <c r="N26" i="3" s="1"/>
  <c r="P41" i="3"/>
  <c r="N35" i="3" s="1"/>
  <c r="H43" i="3"/>
  <c r="F43" i="3"/>
  <c r="F67" i="3"/>
  <c r="E66" i="3"/>
  <c r="H68" i="3" l="1"/>
  <c r="F68" i="3"/>
  <c r="F30" i="1"/>
  <c r="I19" i="1"/>
  <c r="L30" i="1" s="1"/>
  <c r="N30" i="1" s="1"/>
  <c r="O31" i="1" s="1"/>
  <c r="G31" i="1" l="1"/>
  <c r="G66" i="1"/>
  <c r="G67" i="1" s="1"/>
  <c r="G68" i="1" s="1"/>
  <c r="G81" i="1"/>
  <c r="G82" i="1" s="1"/>
  <c r="G83" i="1" s="1"/>
  <c r="J17" i="1"/>
  <c r="J18" i="1"/>
  <c r="M18" i="1" s="1"/>
  <c r="G41" i="1"/>
  <c r="G42" i="1" s="1"/>
  <c r="G43" i="1" s="1"/>
  <c r="I44" i="5" l="1"/>
  <c r="I7" i="5"/>
  <c r="E31" i="3"/>
  <c r="E32" i="3" s="1"/>
  <c r="O32" i="1"/>
  <c r="G91" i="1"/>
  <c r="G92" i="1" s="1"/>
  <c r="G93" i="1" s="1"/>
  <c r="M17" i="1"/>
  <c r="M19" i="1" s="1"/>
  <c r="L39" i="1" s="1"/>
  <c r="N39" i="1" s="1"/>
  <c r="O40" i="1" s="1"/>
  <c r="J19" i="1"/>
  <c r="F51" i="1"/>
  <c r="D91" i="3"/>
  <c r="E78" i="3"/>
  <c r="F79" i="3" s="1"/>
  <c r="J47" i="5" l="1"/>
  <c r="K47" i="5" s="1"/>
  <c r="L47" i="5" s="1"/>
  <c r="J28" i="5"/>
  <c r="K28" i="5" s="1"/>
  <c r="L28" i="5" s="1"/>
  <c r="J46" i="5"/>
  <c r="K46" i="5" s="1"/>
  <c r="L46" i="5" s="1"/>
  <c r="O41" i="1"/>
  <c r="O42" i="1" s="1"/>
  <c r="N26" i="1"/>
  <c r="O33" i="1"/>
  <c r="J44" i="5"/>
  <c r="K44" i="5" s="1"/>
  <c r="L44" i="5" s="1"/>
  <c r="J43" i="5"/>
  <c r="K43" i="5" s="1"/>
  <c r="L43" i="5" s="1"/>
  <c r="J21" i="5"/>
  <c r="K21" i="5" s="1"/>
  <c r="L21" i="5" s="1"/>
  <c r="J35" i="5"/>
  <c r="K35" i="5" s="1"/>
  <c r="L35" i="5" s="1"/>
  <c r="J36" i="5"/>
  <c r="K36" i="5" s="1"/>
  <c r="L36" i="5" s="1"/>
  <c r="J20" i="5"/>
  <c r="K20" i="5" s="1"/>
  <c r="L20" i="5" s="1"/>
  <c r="J39" i="5"/>
  <c r="K39" i="5" s="1"/>
  <c r="L39" i="5" s="1"/>
  <c r="J25" i="5"/>
  <c r="K25" i="5" s="1"/>
  <c r="L25" i="5" s="1"/>
  <c r="J24" i="5"/>
  <c r="K24" i="5" s="1"/>
  <c r="L24" i="5" s="1"/>
  <c r="G52" i="1"/>
  <c r="I17" i="5"/>
  <c r="J17" i="5" s="1"/>
  <c r="K17" i="5" s="1"/>
  <c r="L17" i="5" s="1"/>
  <c r="P81" i="3"/>
  <c r="N75" i="3" s="1"/>
  <c r="F82" i="3"/>
  <c r="E81" i="3"/>
  <c r="E54" i="3"/>
  <c r="E55" i="3" s="1"/>
  <c r="G54" i="1"/>
  <c r="G55" i="1" s="1"/>
  <c r="G56" i="1" s="1"/>
  <c r="D79" i="3"/>
  <c r="G78" i="3"/>
  <c r="G79" i="3" s="1"/>
  <c r="E90" i="3"/>
  <c r="F91" i="3" s="1"/>
  <c r="G90" i="3"/>
  <c r="G91" i="3" s="1"/>
  <c r="H11" i="1"/>
  <c r="W12" i="1" s="1"/>
  <c r="I40" i="5" l="1"/>
  <c r="J40" i="5" s="1"/>
  <c r="K40" i="5" s="1"/>
  <c r="L40" i="5" s="1"/>
  <c r="O53" i="1"/>
  <c r="I16" i="5"/>
  <c r="J16" i="5" s="1"/>
  <c r="K16" i="5" s="1"/>
  <c r="L16" i="5" s="1"/>
  <c r="P92" i="3"/>
  <c r="N86" i="3" s="1"/>
  <c r="H83" i="3"/>
  <c r="F83" i="3"/>
  <c r="F94" i="3"/>
  <c r="E93" i="3"/>
  <c r="H95" i="3" l="1"/>
  <c r="F95" i="3"/>
  <c r="N27" i="5" l="1"/>
  <c r="N28" i="5" s="1"/>
  <c r="A27" i="5" s="1"/>
  <c r="I27" i="5" s="1"/>
  <c r="J27" i="5" s="1"/>
  <c r="K27" i="5" s="1"/>
  <c r="L27" i="5" s="1"/>
</calcChain>
</file>

<file path=xl/comments1.xml><?xml version="1.0" encoding="utf-8"?>
<comments xmlns="http://schemas.openxmlformats.org/spreadsheetml/2006/main">
  <authors>
    <author>Shimon</author>
  </authors>
  <commentList>
    <comment ref="D30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39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5,278.71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 xml:space="preserve">ס"ה: 15,924.12
</t>
        </r>
      </text>
    </comment>
    <comment ref="D51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63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7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8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</commentList>
</comments>
</file>

<file path=xl/comments2.xml><?xml version="1.0" encoding="utf-8"?>
<comments xmlns="http://schemas.openxmlformats.org/spreadsheetml/2006/main">
  <authors>
    <author>Shimon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5,278.71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 xml:space="preserve">ס"ה: 15,924.12
</t>
        </r>
      </text>
    </comment>
    <comment ref="C52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C63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C90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</commentList>
</comments>
</file>

<file path=xl/sharedStrings.xml><?xml version="1.0" encoding="utf-8"?>
<sst xmlns="http://schemas.openxmlformats.org/spreadsheetml/2006/main" count="662" uniqueCount="208">
  <si>
    <t xml:space="preserve"> </t>
  </si>
  <si>
    <t xml:space="preserve">1.4.1990 </t>
  </si>
  <si>
    <t>31.7.2012</t>
  </si>
  <si>
    <t>שנים</t>
  </si>
  <si>
    <t xml:space="preserve"> 28.7.1970</t>
  </si>
  <si>
    <t>31.3.1990</t>
  </si>
  <si>
    <t xml:space="preserve">משכורת </t>
  </si>
  <si>
    <t>קובעת</t>
  </si>
  <si>
    <t xml:space="preserve">               פנסיה </t>
  </si>
  <si>
    <t>%</t>
  </si>
  <si>
    <t>₪</t>
  </si>
  <si>
    <t>חוזה:</t>
  </si>
  <si>
    <t>כתב מינוי:</t>
  </si>
  <si>
    <t>1.1.1964</t>
  </si>
  <si>
    <t>31.8.1964</t>
  </si>
  <si>
    <t>כתב מינוי</t>
  </si>
  <si>
    <t xml:space="preserve">חוזה </t>
  </si>
  <si>
    <t>תקופה:</t>
  </si>
  <si>
    <t>בכירים רמה א</t>
  </si>
  <si>
    <t xml:space="preserve">44+ מח"ר </t>
  </si>
  <si>
    <t xml:space="preserve">אחוז מתוך </t>
  </si>
  <si>
    <t>שנות שרות</t>
  </si>
  <si>
    <t>ארעי (נרכש):</t>
  </si>
  <si>
    <t>פער (לרעתי):</t>
  </si>
  <si>
    <t>סה"כ פנסיה:</t>
  </si>
  <si>
    <t>פרטי שכר 44+:</t>
  </si>
  <si>
    <t xml:space="preserve">      תוספות</t>
  </si>
  <si>
    <t xml:space="preserve">           יסוד</t>
  </si>
  <si>
    <t>חודשים</t>
  </si>
  <si>
    <r>
      <rPr>
        <sz val="11"/>
        <color theme="1"/>
        <rFont val="Arial"/>
        <family val="2"/>
        <scheme val="minor"/>
      </rPr>
      <t xml:space="preserve">             </t>
    </r>
    <r>
      <rPr>
        <b/>
        <u/>
        <sz val="12"/>
        <color theme="1"/>
        <rFont val="Arial"/>
        <family val="2"/>
        <charset val="177"/>
        <scheme val="minor"/>
      </rPr>
      <t>תקופת עבודה</t>
    </r>
  </si>
  <si>
    <t>ס"ה 44+:</t>
  </si>
  <si>
    <t>אחוז מהמשכורת</t>
  </si>
  <si>
    <t>(שנים לפי 2%=)</t>
  </si>
  <si>
    <t xml:space="preserve">46+ מח"ר </t>
  </si>
  <si>
    <t>פרטי שכר 46+:</t>
  </si>
  <si>
    <t>ס"ה 46+:</t>
  </si>
  <si>
    <t>לחודש!.</t>
  </si>
  <si>
    <t>משכורת</t>
  </si>
  <si>
    <t>(כאמור: ע"פ נוסחת הנש"מ: ככל שתקופת כתב המינוי ארוכה יותר-הפנסיה קטנה יותר)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</si>
  <si>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42.67 שנים כנ"ל ומקסימום 70% פנסיה</t>
    </r>
    <r>
      <rPr>
        <b/>
        <u/>
        <sz val="12"/>
        <color theme="1"/>
        <rFont val="Arial"/>
        <family val="2"/>
        <scheme val="minor"/>
      </rPr>
      <t>) דרגה 46+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</si>
  <si>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42.67 שנים כנ"ל ומקסימום 70% פנסיה</t>
    </r>
    <r>
      <rPr>
        <b/>
        <u/>
        <sz val="12"/>
        <color theme="1"/>
        <rFont val="Arial"/>
        <family val="2"/>
        <scheme val="minor"/>
      </rPr>
      <t>) דרגה 44+</t>
    </r>
  </si>
  <si>
    <t xml:space="preserve">פער בין פנסיה לפי חוזה (ללא שקלול) לנוסחת נש"ם בדרגה 44+ </t>
  </si>
  <si>
    <t>1.8.2012</t>
  </si>
  <si>
    <t>31.3.2014</t>
  </si>
  <si>
    <t>ס"ה שרות עד תום חוזה:</t>
  </si>
  <si>
    <t>ס"ה חודשים</t>
  </si>
  <si>
    <t>חישובי פנסיה ללא הגבלה של 70%</t>
  </si>
  <si>
    <t>חישובי פנסיה מוגבלת ל-70 אחוז</t>
  </si>
  <si>
    <t>ס"ה:</t>
  </si>
  <si>
    <t>סה"כ בחוזה</t>
  </si>
  <si>
    <r>
      <rPr>
        <sz val="11"/>
        <color theme="1"/>
        <rFont val="Arial"/>
        <family val="2"/>
        <scheme val="minor"/>
      </rPr>
      <t xml:space="preserve">         </t>
    </r>
    <r>
      <rPr>
        <b/>
        <u/>
        <sz val="12"/>
        <color theme="1"/>
        <rFont val="Arial"/>
        <family val="2"/>
        <charset val="177"/>
        <scheme val="minor"/>
      </rPr>
      <t>תקופת עבודה</t>
    </r>
  </si>
  <si>
    <t xml:space="preserve">                   פנסיה רק עד 31.7.12:</t>
  </si>
  <si>
    <t xml:space="preserve">        פער בין פנסיה לפי חוזה (ללא שקלול) לנוסחת נש"ם בדרגה 44+: </t>
  </si>
  <si>
    <t xml:space="preserve">     פער בין פנסיה לפי חוזה (ללא שקלול) לנוסחת נש"ם בדרגה 46+:</t>
  </si>
  <si>
    <t xml:space="preserve">    פער בין פנסיה לפי חוזה (ללא שקלול) לנוסחת נש"ם בדרגה 44+: </t>
  </si>
  <si>
    <t xml:space="preserve">  31/07/2012</t>
  </si>
  <si>
    <t>נוסחת נש"מ</t>
  </si>
  <si>
    <t>ס"ה כתב מינוי</t>
  </si>
  <si>
    <t>ס"ה שרות</t>
  </si>
  <si>
    <t xml:space="preserve">ס"ה שרות </t>
  </si>
  <si>
    <t xml:space="preserve">              פער:</t>
  </si>
  <si>
    <t>לחודש</t>
  </si>
  <si>
    <t xml:space="preserve">    יחס חוזה/כ.מינוי</t>
  </si>
  <si>
    <t xml:space="preserve">         יחס חוזה/כ.מינוי</t>
  </si>
  <si>
    <t xml:space="preserve">  שנים</t>
  </si>
  <si>
    <t>מיום</t>
  </si>
  <si>
    <t>עד יום</t>
  </si>
  <si>
    <r>
      <t xml:space="preserve">אילו </t>
    </r>
    <r>
      <rPr>
        <b/>
        <u/>
        <sz val="11"/>
        <color theme="1"/>
        <rFont val="Arial"/>
        <family val="2"/>
        <scheme val="minor"/>
      </rPr>
      <t>לא</t>
    </r>
    <r>
      <rPr>
        <sz val="11"/>
        <color theme="1"/>
        <rFont val="Arial"/>
        <family val="2"/>
        <charset val="177"/>
        <scheme val="minor"/>
      </rPr>
      <t xml:space="preserve"> הייתי רוכש תקופת ארעיות (8 חודשים)</t>
    </r>
  </si>
  <si>
    <t>אילו לא העברתי ממבטחים</t>
  </si>
  <si>
    <t xml:space="preserve"> יחס חוזה/כ.מינוי לפי נש"מ</t>
  </si>
  <si>
    <t xml:space="preserve">      פער מינימלי (לטובתי)</t>
  </si>
  <si>
    <t>לשנה</t>
  </si>
  <si>
    <r>
      <t xml:space="preserve">(כלאמר:ע"פ נוסחת נש"מ, העברת זכויותי במבטחים למדינה </t>
    </r>
    <r>
      <rPr>
        <b/>
        <u/>
        <sz val="9"/>
        <color theme="1"/>
        <rFont val="Arial"/>
        <family val="2"/>
        <scheme val="minor"/>
      </rPr>
      <t>הקטינה</t>
    </r>
    <r>
      <rPr>
        <sz val="9"/>
        <color theme="1"/>
        <rFont val="Arial"/>
        <family val="2"/>
        <charset val="177"/>
        <scheme val="minor"/>
      </rPr>
      <t xml:space="preserve"> את הפנסיה שלי וגם אינני מקבל פנסיה ממבטחים</t>
    </r>
  </si>
  <si>
    <t/>
  </si>
  <si>
    <t>השלמת חוזה:</t>
  </si>
  <si>
    <t>נטו לטובתי:</t>
  </si>
  <si>
    <t>לשנה:</t>
  </si>
  <si>
    <r>
      <t xml:space="preserve">נוסחת נש"מ </t>
    </r>
    <r>
      <rPr>
        <u/>
        <sz val="12"/>
        <color theme="1"/>
        <rFont val="Arial"/>
        <family val="2"/>
        <scheme val="minor"/>
      </rPr>
      <t>(שקלול של  42.67שנים כנ"ל)</t>
    </r>
    <r>
      <rPr>
        <b/>
        <u/>
        <sz val="12"/>
        <color theme="1"/>
        <rFont val="Arial"/>
        <family val="2"/>
        <scheme val="minor"/>
      </rPr>
      <t xml:space="preserve"> אך בדרגה 46+. פנסיה מקסימלית:</t>
    </r>
    <r>
      <rPr>
        <u/>
        <sz val="12"/>
        <color theme="1"/>
        <rFont val="Arial"/>
        <family val="2"/>
        <scheme val="minor"/>
      </rPr>
      <t xml:space="preserve"> 70%</t>
    </r>
    <r>
      <rPr>
        <b/>
        <u/>
        <sz val="12"/>
        <color theme="1"/>
        <rFont val="Arial"/>
        <family val="2"/>
        <scheme val="minor"/>
      </rPr>
      <t xml:space="preserve">) </t>
    </r>
  </si>
  <si>
    <r>
      <rPr>
        <sz val="12"/>
        <color theme="1"/>
        <rFont val="Arial"/>
        <family val="2"/>
        <scheme val="minor"/>
      </rPr>
      <t xml:space="preserve"> </t>
    </r>
    <r>
      <rPr>
        <b/>
        <u/>
        <sz val="12"/>
        <color theme="1"/>
        <rFont val="Arial"/>
        <family val="2"/>
        <scheme val="minor"/>
      </rPr>
      <t xml:space="preserve">נוסחת נש"ם נוכחית </t>
    </r>
    <r>
      <rPr>
        <u/>
        <sz val="12"/>
        <color theme="1"/>
        <rFont val="Arial"/>
        <family val="2"/>
        <scheme val="minor"/>
      </rPr>
      <t>(שקלול-42.67שנים) ו</t>
    </r>
    <r>
      <rPr>
        <b/>
        <u/>
        <sz val="12"/>
        <color theme="1"/>
        <rFont val="Arial"/>
        <family val="2"/>
        <scheme val="minor"/>
      </rPr>
      <t>דרגה 44+</t>
    </r>
    <r>
      <rPr>
        <u/>
        <sz val="12"/>
        <color theme="1"/>
        <rFont val="Arial"/>
        <family val="2"/>
        <scheme val="minor"/>
      </rPr>
      <t>. פנסיה מקסימלית: 70%</t>
    </r>
  </si>
  <si>
    <t>פער בין דרגה 44+ ל- 46+ -נוסחת נש"מ: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</si>
  <si>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 42.67 השנים כנ"ל</t>
    </r>
    <r>
      <rPr>
        <b/>
        <u/>
        <sz val="12"/>
        <color theme="1"/>
        <rFont val="Arial"/>
        <family val="2"/>
        <scheme val="minor"/>
      </rPr>
      <t xml:space="preserve"> דרגה 44+</t>
    </r>
    <r>
      <rPr>
        <u/>
        <sz val="12"/>
        <color theme="1"/>
        <rFont val="Arial"/>
        <family val="2"/>
        <scheme val="minor"/>
      </rPr>
      <t xml:space="preserve"> ללא הגבלת 70%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</si>
  <si>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 42.67 השנים כנ"ל</t>
    </r>
    <r>
      <rPr>
        <b/>
        <u/>
        <sz val="12"/>
        <color theme="1"/>
        <rFont val="Arial"/>
        <family val="2"/>
        <scheme val="minor"/>
      </rPr>
      <t xml:space="preserve"> דרגה 46+ </t>
    </r>
    <r>
      <rPr>
        <u/>
        <sz val="12"/>
        <color theme="1"/>
        <rFont val="Arial"/>
        <family val="2"/>
        <scheme val="minor"/>
      </rPr>
      <t>ללא הגבלת 70%</t>
    </r>
  </si>
  <si>
    <t>נ ת ו נ י   י ס ו ד</t>
  </si>
  <si>
    <t>לכל השנים בחוזה (2X22.33) והשלמה ל70% לפי 46+</t>
  </si>
  <si>
    <r>
      <t xml:space="preserve">       העברת מבטחים למדינה </t>
    </r>
    <r>
      <rPr>
        <b/>
        <u/>
        <sz val="9"/>
        <color theme="1"/>
        <rFont val="Arial"/>
        <family val="2"/>
        <scheme val="minor"/>
      </rPr>
      <t>מגדילה</t>
    </r>
    <r>
      <rPr>
        <sz val="9"/>
        <color theme="1"/>
        <rFont val="Arial"/>
        <family val="2"/>
        <charset val="177"/>
        <scheme val="minor"/>
      </rPr>
      <t xml:space="preserve"> גמלתי ב:</t>
    </r>
  </si>
  <si>
    <t>ברור שלא הייתי מעביר את זכויותי למדינה לו ידעתי שיחשבו את הגימלה לפי נוסחת נש"מ</t>
  </si>
  <si>
    <r>
      <t xml:space="preserve">סך </t>
    </r>
    <r>
      <rPr>
        <b/>
        <u/>
        <sz val="9"/>
        <color theme="1"/>
        <rFont val="Arial"/>
        <family val="2"/>
        <scheme val="minor"/>
      </rPr>
      <t xml:space="preserve">הפסד </t>
    </r>
    <r>
      <rPr>
        <sz val="9"/>
        <color theme="1"/>
        <rFont val="Arial"/>
        <family val="2"/>
        <charset val="177"/>
        <scheme val="minor"/>
      </rPr>
      <t xml:space="preserve">שלי בגלל העברת זכויותי במבטחים: </t>
    </r>
  </si>
  <si>
    <r>
      <t xml:space="preserve">סך </t>
    </r>
    <r>
      <rPr>
        <b/>
        <u/>
        <sz val="9"/>
        <color theme="1"/>
        <rFont val="Arial"/>
        <family val="2"/>
        <scheme val="minor"/>
      </rPr>
      <t>הפסד</t>
    </r>
    <r>
      <rPr>
        <sz val="9"/>
        <color theme="1"/>
        <rFont val="Arial"/>
        <family val="2"/>
        <charset val="177"/>
        <scheme val="minor"/>
      </rPr>
      <t xml:space="preserve"> שלי בגלל העברת זכויותי במבטחים: </t>
    </r>
  </si>
  <si>
    <t>סה"כ שרות:</t>
  </si>
  <si>
    <t>כ. מינוי+חוזה:</t>
  </si>
  <si>
    <t xml:space="preserve">  תקופה שחלפה מהפרישה</t>
  </si>
  <si>
    <t xml:space="preserve">   בהשוואה לפנסיה רק עד 31.7.12:</t>
  </si>
  <si>
    <t xml:space="preserve">העברתי זכויותי במבטחים למדינה לאחר שהובהר לי שהפנסיה שלי תגדל. בפועל  </t>
  </si>
  <si>
    <r>
      <t xml:space="preserve">       היתה</t>
    </r>
    <r>
      <rPr>
        <b/>
        <sz val="9"/>
        <color theme="1"/>
        <rFont val="Arial"/>
        <family val="2"/>
        <scheme val="minor"/>
      </rPr>
      <t xml:space="preserve"> </t>
    </r>
    <r>
      <rPr>
        <b/>
        <u/>
        <sz val="9"/>
        <color theme="1"/>
        <rFont val="Arial"/>
        <family val="2"/>
        <scheme val="minor"/>
      </rPr>
      <t>גבוהה</t>
    </r>
    <r>
      <rPr>
        <u/>
        <sz val="9"/>
        <color theme="1"/>
        <rFont val="Arial"/>
        <family val="2"/>
        <scheme val="minor"/>
      </rPr>
      <t xml:space="preserve"> </t>
    </r>
    <r>
      <rPr>
        <sz val="9"/>
        <color theme="1"/>
        <rFont val="Arial"/>
        <family val="2"/>
        <charset val="177"/>
        <scheme val="minor"/>
      </rPr>
      <t>יותר בסך של</t>
    </r>
  </si>
  <si>
    <t xml:space="preserve"> לחודש.</t>
  </si>
  <si>
    <t xml:space="preserve"> 'מפנסיה של%</t>
  </si>
  <si>
    <t xml:space="preserve">      כולל תקופה נרכשת</t>
  </si>
  <si>
    <t xml:space="preserve">    ללא התקופת הנרכשת</t>
  </si>
  <si>
    <t xml:space="preserve"> ' מהשרות%</t>
  </si>
  <si>
    <t>(כולל ארעי)</t>
  </si>
  <si>
    <t>(ללא ארעי)</t>
  </si>
  <si>
    <r>
      <rPr>
        <b/>
        <sz val="12"/>
        <color theme="1"/>
        <rFont val="Arial"/>
        <family val="2"/>
        <scheme val="minor"/>
      </rPr>
      <t xml:space="preserve">      </t>
    </r>
    <r>
      <rPr>
        <b/>
        <u/>
        <sz val="12"/>
        <color theme="1"/>
        <rFont val="Arial"/>
        <family val="2"/>
        <scheme val="minor"/>
      </rPr>
      <t>יחס חוזה/כתב מינוי</t>
    </r>
  </si>
  <si>
    <r>
      <rPr>
        <b/>
        <sz val="11"/>
        <color theme="1"/>
        <rFont val="Arial"/>
        <family val="2"/>
        <scheme val="minor"/>
      </rPr>
      <t>ס"ה חוזה:</t>
    </r>
    <r>
      <rPr>
        <sz val="11"/>
        <color theme="1"/>
        <rFont val="Arial"/>
        <family val="2"/>
        <charset val="177"/>
        <scheme val="minor"/>
      </rPr>
      <t xml:space="preserve"> </t>
    </r>
  </si>
  <si>
    <t xml:space="preserve">         יסוד</t>
  </si>
  <si>
    <r>
      <t xml:space="preserve">חישובי פנסיה לחוזה עד 31.3.14 </t>
    </r>
    <r>
      <rPr>
        <u val="double"/>
        <sz val="14"/>
        <color theme="1"/>
        <rFont val="Arial"/>
        <family val="2"/>
        <scheme val="minor"/>
      </rPr>
      <t xml:space="preserve">(כולל השלמת חוזה) </t>
    </r>
  </si>
  <si>
    <t xml:space="preserve">זמן שחלף מיום הפרישה </t>
  </si>
  <si>
    <r>
      <rPr>
        <b/>
        <sz val="9"/>
        <color theme="1"/>
        <rFont val="Arial"/>
        <family val="2"/>
        <scheme val="minor"/>
      </rPr>
      <t>46+</t>
    </r>
    <r>
      <rPr>
        <sz val="9"/>
        <color theme="1"/>
        <rFont val="Arial"/>
        <family val="2"/>
        <charset val="177"/>
        <scheme val="minor"/>
      </rPr>
      <t xml:space="preserve"> מח"ר </t>
    </r>
  </si>
  <si>
    <r>
      <rPr>
        <b/>
        <sz val="9"/>
        <color theme="1"/>
        <rFont val="Arial"/>
        <family val="2"/>
        <scheme val="minor"/>
      </rPr>
      <t>44+</t>
    </r>
    <r>
      <rPr>
        <sz val="9"/>
        <color theme="1"/>
        <rFont val="Arial"/>
        <family val="2"/>
        <charset val="177"/>
        <scheme val="minor"/>
      </rPr>
      <t xml:space="preserve"> מח"ר </t>
    </r>
  </si>
  <si>
    <r>
      <rPr>
        <b/>
        <sz val="9"/>
        <color theme="1"/>
        <rFont val="Arial"/>
        <family val="2"/>
        <scheme val="minor"/>
      </rPr>
      <t xml:space="preserve">44+ </t>
    </r>
    <r>
      <rPr>
        <sz val="9"/>
        <color theme="1"/>
        <rFont val="Arial"/>
        <family val="2"/>
        <charset val="177"/>
        <scheme val="minor"/>
      </rPr>
      <t xml:space="preserve">מח"ר </t>
    </r>
  </si>
  <si>
    <r>
      <t xml:space="preserve">לפי נוסחת הנש"מ, הפנסיה ללא "התקופה הנרכשת" (רק </t>
    </r>
    <r>
      <rPr>
        <b/>
        <sz val="9"/>
        <color theme="1"/>
        <rFont val="Arial"/>
        <family val="2"/>
        <scheme val="minor"/>
      </rPr>
      <t xml:space="preserve">42 </t>
    </r>
    <r>
      <rPr>
        <sz val="9"/>
        <color theme="1"/>
        <rFont val="Arial"/>
        <family val="2"/>
        <scheme val="minor"/>
      </rPr>
      <t>במקום 42.67</t>
    </r>
    <r>
      <rPr>
        <b/>
        <sz val="9"/>
        <color theme="1"/>
        <rFont val="Arial"/>
        <family val="2"/>
        <scheme val="minor"/>
      </rPr>
      <t xml:space="preserve"> שנים</t>
    </r>
    <r>
      <rPr>
        <sz val="9"/>
        <color theme="1"/>
        <rFont val="Arial"/>
        <family val="2"/>
        <charset val="177"/>
        <scheme val="minor"/>
      </rPr>
      <t xml:space="preserve">) </t>
    </r>
  </si>
  <si>
    <t>ברור שלא הייתי מוותר על זכויותי במבטחים אילו ידעתי שהכוונה לחשב את הפנסיה שלי לפי נוסחת נש"מ</t>
  </si>
  <si>
    <t xml:space="preserve">         העברת מבטחים למדינה לא הגדילה את הפנסיה שלי (בגלל ההגבלה ל-70%)  והפסדתי פנסיה של מבטחים</t>
  </si>
  <si>
    <t xml:space="preserve">העברת זכויותי במבטחים למדינה לא שיפרה את הפנסיה </t>
  </si>
  <si>
    <t xml:space="preserve">אין הבדל </t>
  </si>
  <si>
    <t xml:space="preserve">     יכולתי לא להעביר את מבטחים למדינה ולקבל פנסיה נוספת ממבטחים</t>
  </si>
  <si>
    <t xml:space="preserve">  שנים (ללא "השלמת חוזה)"</t>
  </si>
  <si>
    <t xml:space="preserve">  שנים (ללא ארעי וללא "השלמת חוזה)"</t>
  </si>
  <si>
    <t>ולכן העברתי את זכויותי במבטחים למדינה</t>
  </si>
  <si>
    <t>שנים מהפרישה</t>
  </si>
  <si>
    <r>
      <rPr>
        <b/>
        <sz val="11"/>
        <color theme="1"/>
        <rFont val="Arial"/>
        <family val="2"/>
        <scheme val="minor"/>
      </rPr>
      <t xml:space="preserve">         </t>
    </r>
    <r>
      <rPr>
        <b/>
        <u/>
        <sz val="11"/>
        <color theme="1"/>
        <rFont val="Arial"/>
        <family val="2"/>
        <scheme val="minor"/>
      </rPr>
      <t>לתקופת שרות:  42 שנים</t>
    </r>
  </si>
  <si>
    <t xml:space="preserve">פער בין פנסיה לפי נוסחת נש"ם לנוסחת החוזה (ללא שקלול) ודרגה 46+ </t>
  </si>
  <si>
    <t xml:space="preserve">פער בין פנסיה לפי נוסחת נש"ם לנוסחת החוזה (ללא שקלול) ודרגה 44+ </t>
  </si>
  <si>
    <r>
      <t xml:space="preserve">             אם לא הייתי רוכש את התקופה היה הפנסיה </t>
    </r>
    <r>
      <rPr>
        <b/>
        <sz val="9"/>
        <color theme="1"/>
        <rFont val="Arial"/>
        <family val="2"/>
        <scheme val="minor"/>
      </rPr>
      <t xml:space="preserve">גבוהה יותר </t>
    </r>
    <r>
      <rPr>
        <sz val="9"/>
        <color theme="1"/>
        <rFont val="Arial"/>
        <family val="2"/>
        <charset val="177"/>
        <scheme val="minor"/>
      </rPr>
      <t>ב</t>
    </r>
  </si>
  <si>
    <r>
      <t xml:space="preserve">אם לא הייתי מעביר זכויותי במבטחים היתה הפנסיה שלי </t>
    </r>
    <r>
      <rPr>
        <b/>
        <sz val="11"/>
        <color theme="1"/>
        <rFont val="Arial"/>
        <family val="2"/>
        <scheme val="minor"/>
      </rPr>
      <t>קטנה</t>
    </r>
    <r>
      <rPr>
        <sz val="11"/>
        <color theme="1"/>
        <rFont val="Arial"/>
        <family val="2"/>
        <charset val="177"/>
        <scheme val="minor"/>
      </rPr>
      <t xml:space="preserve"> ב:</t>
    </r>
  </si>
  <si>
    <t>שנים מאז הפרישה</t>
  </si>
  <si>
    <t>תוספת לגימלה בגין "השלמת חוזה"</t>
  </si>
  <si>
    <t xml:space="preserve">        פער בין פנסיה לפי חוזה (ללא שקלול) לנוסחת נש"ם בדרגה 46+ </t>
  </si>
  <si>
    <r>
      <t xml:space="preserve"> פנסיה  עד 31.3.14 </t>
    </r>
    <r>
      <rPr>
        <u val="double"/>
        <sz val="14"/>
        <color theme="1"/>
        <rFont val="Arial"/>
        <family val="2"/>
        <scheme val="minor"/>
      </rPr>
      <t xml:space="preserve">(כולל השלמת חוזה) </t>
    </r>
    <r>
      <rPr>
        <b/>
        <u val="double"/>
        <sz val="14"/>
        <color theme="1"/>
        <rFont val="Arial"/>
        <family val="2"/>
        <scheme val="minor"/>
      </rPr>
      <t>מוגבלת ל-70 אחוז</t>
    </r>
  </si>
  <si>
    <r>
      <t xml:space="preserve"> פנסיה לפי חוזה עד 31.3.14 </t>
    </r>
    <r>
      <rPr>
        <u val="double"/>
        <sz val="14"/>
        <color theme="1"/>
        <rFont val="Arial"/>
        <family val="2"/>
        <scheme val="minor"/>
      </rPr>
      <t xml:space="preserve">(כולל השלמת חוזה) </t>
    </r>
    <r>
      <rPr>
        <b/>
        <u val="double"/>
        <sz val="14"/>
        <color theme="1"/>
        <rFont val="Arial"/>
        <family val="2"/>
        <scheme val="minor"/>
      </rPr>
      <t>ללא הגבלה של 70%</t>
    </r>
  </si>
  <si>
    <t>בדרגה 44+</t>
  </si>
  <si>
    <t>בדרגה 46+</t>
  </si>
  <si>
    <r>
      <rPr>
        <b/>
        <u/>
        <sz val="9"/>
        <color theme="1"/>
        <rFont val="Arial"/>
        <family val="2"/>
        <scheme val="minor"/>
      </rPr>
      <t>הפנסיה קטנה</t>
    </r>
    <r>
      <rPr>
        <sz val="9"/>
        <color theme="1"/>
        <rFont val="Arial"/>
        <family val="2"/>
        <charset val="177"/>
        <scheme val="minor"/>
      </rPr>
      <t xml:space="preserve"> ב</t>
    </r>
  </si>
  <si>
    <t>לחודש כמפורט להלן:</t>
  </si>
  <si>
    <t>אך בגלל שהחלק היחסי של תקופת המשכורת הנמוכה מתוך ה-70% פנסיה גדל ולכן</t>
  </si>
  <si>
    <t>פער לעומת פנסיה ללא תקופה נרכשת (לרעתי):</t>
  </si>
  <si>
    <t>(בהגבלה ל-70%, ככל שתקופת כתב המינוי ארוכה יותר-הפנסיה קטנה יותר)</t>
  </si>
  <si>
    <t>ולא הייתי צריך להעביר למדינה  את זכויותי  במבטחים</t>
  </si>
  <si>
    <t xml:space="preserve">     אין הבדל בפנסיה עם או בלי התקופה הנרכשת</t>
  </si>
  <si>
    <t xml:space="preserve">רמת </t>
  </si>
  <si>
    <t xml:space="preserve">46+  מח"ר  </t>
  </si>
  <si>
    <t>אם לא הייתי מעביר למדינה  את זכויותיי במבטחים</t>
  </si>
  <si>
    <t xml:space="preserve"> היתה הצדקה להעביר למדינה את זכויותיי במבטחים.</t>
  </si>
  <si>
    <t xml:space="preserve">        מסקנה: רק בנוסחה של החוזה (ללא שקלול וללא הגבלה ל-70%)</t>
  </si>
  <si>
    <t>פנסיה</t>
  </si>
  <si>
    <t>שנות עבודה</t>
  </si>
  <si>
    <t>נוכחית</t>
  </si>
  <si>
    <t>דרגה44+</t>
  </si>
  <si>
    <t>כ.מינוי+ארעי</t>
  </si>
  <si>
    <t>חוזה רמה א'</t>
  </si>
  <si>
    <t>סה"כ פנסיה נוכחית:</t>
  </si>
  <si>
    <t xml:space="preserve">לשנה </t>
  </si>
  <si>
    <t>מאז הפרישה</t>
  </si>
  <si>
    <t>א.</t>
  </si>
  <si>
    <t>ב.</t>
  </si>
  <si>
    <t xml:space="preserve">פנסיה </t>
  </si>
  <si>
    <t xml:space="preserve">  ס כ ו ם   ת ב י ע ה</t>
  </si>
  <si>
    <t>X</t>
  </si>
  <si>
    <t>ללא הגבלה ל-70%</t>
  </si>
  <si>
    <t xml:space="preserve">על תקופת החוזה </t>
  </si>
  <si>
    <t>ג.ג</t>
  </si>
  <si>
    <t>לכל השנים בחוזה (24) -ללא שקלול-  והשלמה (11שנים) -עד 70%</t>
  </si>
  <si>
    <t>פער בין דרגה 46+ ל-44+ב נוסחת נש"מ (44.33 שנה)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</si>
  <si>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 </t>
    </r>
    <r>
      <rPr>
        <u/>
        <sz val="12"/>
        <color theme="1"/>
        <rFont val="Arial"/>
        <family val="2"/>
        <scheme val="minor"/>
      </rPr>
      <t>. פנסיה מקסימלית 70%.</t>
    </r>
  </si>
  <si>
    <t xml:space="preserve"> מקסי' פנסיה:</t>
  </si>
  <si>
    <t xml:space="preserve">נוסחת נש"ם:      שקלול </t>
  </si>
  <si>
    <r>
      <t xml:space="preserve">   (חוזה)   </t>
    </r>
    <r>
      <rPr>
        <b/>
        <sz val="11"/>
        <rFont val="Arial"/>
        <family val="2"/>
        <scheme val="minor"/>
      </rPr>
      <t xml:space="preserve"> ועוד</t>
    </r>
  </si>
  <si>
    <t>השלמה ל70% (35 שנה)</t>
  </si>
  <si>
    <t>נוסחת נש"מ:  שקלול התקופות עד 31.3.14 ועד 70% (35 שנה)</t>
  </si>
  <si>
    <t>לכל השנים בחוזה (2%X22.33) והשלמה ל70% לפי 44+</t>
  </si>
  <si>
    <t>מקביל ל:</t>
  </si>
  <si>
    <t>(42.67)ת.שרות בפועל בחוזה (22.33) מת.שרות</t>
  </si>
  <si>
    <t>אחוז מת.שרות בחוזה שהוכר לפנסיה של 2%לשנה</t>
  </si>
  <si>
    <t xml:space="preserve">  לתקופת שרות:  42.67 שנים</t>
  </si>
  <si>
    <t>'משנים בפועל%</t>
  </si>
  <si>
    <t>של 2% לשנה</t>
  </si>
  <si>
    <t xml:space="preserve"> שנים בפנסיה </t>
  </si>
  <si>
    <t>אחוז פנסיה מוסכם לכל שנה</t>
  </si>
  <si>
    <t>רמת שכר</t>
  </si>
  <si>
    <t>משכורת קובעת</t>
  </si>
  <si>
    <t xml:space="preserve">אחוז פנסיה </t>
  </si>
  <si>
    <t>30.04.2019</t>
  </si>
  <si>
    <t>שמעון הכסטר:</t>
  </si>
  <si>
    <t>שנים בחוזה +</t>
  </si>
  <si>
    <t>(פער מנוכחי)</t>
  </si>
  <si>
    <t xml:space="preserve">:המשכורת לדרגה +46)       </t>
  </si>
  <si>
    <t>הכרה ב</t>
  </si>
  <si>
    <t>שנים בחוזה עד 31.3.14:</t>
  </si>
  <si>
    <t>בסיס מוסכם לחישוב גימלה:</t>
  </si>
  <si>
    <r>
      <t xml:space="preserve">      </t>
    </r>
    <r>
      <rPr>
        <b/>
        <u/>
        <sz val="11"/>
        <color theme="1"/>
        <rFont val="Arial"/>
        <family val="2"/>
        <scheme val="minor"/>
      </rPr>
      <t xml:space="preserve"> מידע נוסף:</t>
    </r>
  </si>
  <si>
    <t xml:space="preserve">(42.67)פנסיה של 2% על ת. חוזה(18.32) מת.שרות </t>
  </si>
  <si>
    <t xml:space="preserve">(43.33)פנסיה של 2% על ת. חוזה(18.95) מת.שרות </t>
  </si>
  <si>
    <t>(43.33)ת.שרות בפועל בחוזה (24) מת.שרות</t>
  </si>
  <si>
    <t>שנות שרות לפנסיה (עד 31.7.2012)</t>
  </si>
  <si>
    <t>ממוצע שנתי (הנ"ל חלקי 35)</t>
  </si>
  <si>
    <t>משכורת חוזה * 24 שנים</t>
  </si>
  <si>
    <t>משכורת דרגה 46+*11 שנה</t>
  </si>
  <si>
    <t>ס"ה ל35 שנה</t>
  </si>
  <si>
    <t>פנסיה לפי נש"מ</t>
  </si>
  <si>
    <t>אחוז פנסיה מממוצע שנתי</t>
  </si>
  <si>
    <t>פנסיה(%)לשנה (הנ"ל חלקי 35)</t>
  </si>
  <si>
    <t>שנות עבודה עד 31.3.14</t>
  </si>
  <si>
    <t xml:space="preserve"> '(עד 31.7.2012)</t>
  </si>
  <si>
    <t xml:space="preserve">    '(שקלול" 35 שנה מתוך 44.33 שנות שרות")  </t>
  </si>
  <si>
    <t>חישוב % פנסיה לכל שנת שרות לפי נש"מ</t>
  </si>
  <si>
    <t>סכום תביעה (פנסיה)</t>
  </si>
  <si>
    <t xml:space="preserve">  אלטרנטיבות (בסדר יורד)</t>
  </si>
  <si>
    <t>(עד תום החוזה ב-31.3.2014)</t>
  </si>
  <si>
    <t>הכרה לפנסיה בכל השרות-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</si>
</sst>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₪&quot;\ #,##0.00;&quot;₪&quot;\ \-#,##0.00"/>
    <numFmt numFmtId="43" formatCode="_ * #,##0.00_ ;_ * \-#,##0.00_ ;_ * &quot;-&quot;??_ ;_ @_ "/>
    <numFmt numFmtId="164" formatCode="_ * #,##0_ ;_ * \-#,##0_ ;_ * &quot;-&quot;??_ ;_ @_ "/>
    <numFmt numFmtId="165" formatCode="0.000%"/>
    <numFmt numFmtId="167" formatCode="[$-1010000]d/m/yyyy;@"/>
    <numFmt numFmtId="168" formatCode="[$-1010000]d\.m\.yyyy;@"/>
    <numFmt numFmtId="169" formatCode="0.0%"/>
    <numFmt numFmtId="170" formatCode="&quot;₪&quot;\ #,##0.00;[Red]&quot;₪&quot;\ #,##0.00"/>
    <numFmt numFmtId="171" formatCode="0.00\ש\נ\ה"/>
    <numFmt numFmtId="172" formatCode="\ \ \X\ \ \'\2\%\ \ \ "/>
    <numFmt numFmtId="176" formatCode="#,##0.00;[Red]#,##0.00"/>
    <numFmt numFmtId="184" formatCode="\2\ל\ש\נ\ה%"/>
  </numFmts>
  <fonts count="5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u val="singleAccounting"/>
      <sz val="11"/>
      <color theme="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u val="singleAccounting"/>
      <sz val="9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/>
      <sz val="8"/>
      <color theme="1"/>
      <name val="Arial"/>
      <family val="2"/>
      <charset val="177"/>
      <scheme val="minor"/>
    </font>
    <font>
      <u/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u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singleAccounting"/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9"/>
      <color theme="1"/>
      <name val="Arial"/>
      <family val="2"/>
      <charset val="177"/>
      <scheme val="minor"/>
    </font>
    <font>
      <b/>
      <u/>
      <sz val="9"/>
      <color theme="1"/>
      <name val="Arial"/>
      <family val="2"/>
      <charset val="177"/>
      <scheme val="minor"/>
    </font>
    <font>
      <b/>
      <sz val="9"/>
      <color rgb="FFFF0000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 val="double"/>
      <sz val="14"/>
      <color theme="1"/>
      <name val="Arial"/>
      <family val="2"/>
      <scheme val="minor"/>
    </font>
    <font>
      <u val="singleAccounting"/>
      <sz val="8"/>
      <color theme="1"/>
      <name val="Arial"/>
      <family val="2"/>
      <scheme val="minor"/>
    </font>
    <font>
      <b/>
      <u val="doubleAccounting"/>
      <sz val="8"/>
      <color theme="1"/>
      <name val="Arial"/>
      <family val="2"/>
      <scheme val="minor"/>
    </font>
    <font>
      <b/>
      <sz val="8"/>
      <color theme="1"/>
      <name val="Arial"/>
      <family val="2"/>
      <charset val="177"/>
      <scheme val="minor"/>
    </font>
    <font>
      <u val="doubleAccounting"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u val="double"/>
      <sz val="14"/>
      <color theme="1"/>
      <name val="Arial"/>
      <family val="2"/>
      <scheme val="minor"/>
    </font>
    <font>
      <u val="double"/>
      <sz val="9"/>
      <color theme="1"/>
      <name val="Arial"/>
      <family val="2"/>
      <charset val="177"/>
      <scheme val="minor"/>
    </font>
    <font>
      <u val="double"/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b/>
      <u val="double"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5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2">
    <xf numFmtId="0" fontId="0" fillId="0" borderId="0" xfId="0"/>
    <xf numFmtId="43" fontId="0" fillId="0" borderId="0" xfId="1" applyNumberFormat="1" applyFont="1"/>
    <xf numFmtId="2" fontId="0" fillId="0" borderId="0" xfId="0" applyNumberFormat="1"/>
    <xf numFmtId="43" fontId="3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2" fontId="0" fillId="0" borderId="0" xfId="2" applyNumberFormat="1" applyFont="1"/>
    <xf numFmtId="165" fontId="17" fillId="0" borderId="0" xfId="2" applyNumberFormat="1" applyFont="1"/>
    <xf numFmtId="165" fontId="15" fillId="0" borderId="0" xfId="2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5" fontId="20" fillId="0" borderId="0" xfId="2" applyNumberFormat="1" applyFont="1"/>
    <xf numFmtId="0" fontId="14" fillId="0" borderId="0" xfId="0" applyFont="1"/>
    <xf numFmtId="10" fontId="21" fillId="0" borderId="0" xfId="2" applyNumberFormat="1" applyFont="1"/>
    <xf numFmtId="43" fontId="18" fillId="0" borderId="0" xfId="0" applyNumberFormat="1" applyFont="1"/>
    <xf numFmtId="0" fontId="9" fillId="0" borderId="0" xfId="0" applyFont="1" applyAlignment="1">
      <alignment horizontal="center"/>
    </xf>
    <xf numFmtId="10" fontId="8" fillId="0" borderId="0" xfId="2" applyNumberFormat="1" applyFont="1"/>
    <xf numFmtId="0" fontId="22" fillId="0" borderId="0" xfId="0" applyFont="1" applyAlignment="1">
      <alignment horizontal="center"/>
    </xf>
    <xf numFmtId="43" fontId="0" fillId="0" borderId="0" xfId="0" applyNumberFormat="1" applyFont="1"/>
    <xf numFmtId="0" fontId="0" fillId="0" borderId="0" xfId="0" quotePrefix="1"/>
    <xf numFmtId="2" fontId="6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2" fontId="0" fillId="0" borderId="8" xfId="0" applyNumberFormat="1" applyBorder="1"/>
    <xf numFmtId="0" fontId="18" fillId="0" borderId="15" xfId="0" applyFont="1" applyBorder="1"/>
    <xf numFmtId="43" fontId="18" fillId="0" borderId="16" xfId="0" applyNumberFormat="1" applyFont="1" applyBorder="1"/>
    <xf numFmtId="10" fontId="4" fillId="0" borderId="0" xfId="2" applyNumberFormat="1" applyFont="1" applyBorder="1"/>
    <xf numFmtId="0" fontId="14" fillId="0" borderId="0" xfId="0" applyFont="1" applyBorder="1"/>
    <xf numFmtId="10" fontId="16" fillId="0" borderId="0" xfId="2" applyNumberFormat="1" applyFont="1" applyBorder="1"/>
    <xf numFmtId="2" fontId="0" fillId="0" borderId="0" xfId="0" applyNumberFormat="1" applyBorder="1"/>
    <xf numFmtId="10" fontId="4" fillId="0" borderId="6" xfId="2" applyNumberFormat="1" applyFont="1" applyBorder="1"/>
    <xf numFmtId="10" fontId="16" fillId="0" borderId="4" xfId="2" applyNumberFormat="1" applyFont="1" applyBorder="1"/>
    <xf numFmtId="10" fontId="4" fillId="0" borderId="19" xfId="2" applyNumberFormat="1" applyFont="1" applyBorder="1"/>
    <xf numFmtId="0" fontId="0" fillId="0" borderId="18" xfId="0" applyBorder="1"/>
    <xf numFmtId="10" fontId="16" fillId="0" borderId="21" xfId="2" applyNumberFormat="1" applyFont="1" applyBorder="1"/>
    <xf numFmtId="0" fontId="14" fillId="0" borderId="0" xfId="0" applyFont="1" applyBorder="1" applyAlignment="1">
      <alignment horizontal="center"/>
    </xf>
    <xf numFmtId="10" fontId="4" fillId="0" borderId="21" xfId="2" applyNumberFormat="1" applyFont="1" applyBorder="1"/>
    <xf numFmtId="10" fontId="4" fillId="0" borderId="0" xfId="2" quotePrefix="1" applyNumberFormat="1" applyFont="1" applyBorder="1"/>
    <xf numFmtId="10" fontId="4" fillId="0" borderId="4" xfId="2" applyNumberFormat="1" applyFont="1" applyBorder="1"/>
    <xf numFmtId="0" fontId="18" fillId="0" borderId="2" xfId="0" applyFont="1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28" xfId="0" applyBorder="1"/>
    <xf numFmtId="0" fontId="6" fillId="0" borderId="28" xfId="0" applyFont="1" applyBorder="1"/>
    <xf numFmtId="10" fontId="16" fillId="0" borderId="25" xfId="2" applyNumberFormat="1" applyFont="1" applyBorder="1"/>
    <xf numFmtId="0" fontId="18" fillId="0" borderId="0" xfId="0" applyFont="1" applyBorder="1"/>
    <xf numFmtId="43" fontId="18" fillId="0" borderId="0" xfId="0" applyNumberFormat="1" applyFont="1" applyBorder="1"/>
    <xf numFmtId="43" fontId="5" fillId="0" borderId="29" xfId="1" applyNumberFormat="1" applyFont="1" applyBorder="1"/>
    <xf numFmtId="0" fontId="0" fillId="0" borderId="25" xfId="0" applyBorder="1"/>
    <xf numFmtId="0" fontId="0" fillId="0" borderId="19" xfId="0" applyBorder="1"/>
    <xf numFmtId="10" fontId="8" fillId="0" borderId="0" xfId="2" applyNumberFormat="1" applyFont="1" applyBorder="1"/>
    <xf numFmtId="10" fontId="21" fillId="0" borderId="0" xfId="2" applyNumberFormat="1" applyFont="1" applyBorder="1"/>
    <xf numFmtId="0" fontId="0" fillId="0" borderId="8" xfId="0" applyBorder="1"/>
    <xf numFmtId="10" fontId="0" fillId="0" borderId="30" xfId="0" applyNumberFormat="1" applyBorder="1"/>
    <xf numFmtId="10" fontId="6" fillId="0" borderId="5" xfId="0" applyNumberFormat="1" applyFont="1" applyBorder="1"/>
    <xf numFmtId="10" fontId="21" fillId="0" borderId="5" xfId="2" applyNumberFormat="1" applyFont="1" applyBorder="1"/>
    <xf numFmtId="1" fontId="0" fillId="0" borderId="26" xfId="0" applyNumberFormat="1" applyBorder="1"/>
    <xf numFmtId="1" fontId="0" fillId="0" borderId="27" xfId="0" applyNumberFormat="1" applyBorder="1"/>
    <xf numFmtId="1" fontId="0" fillId="0" borderId="0" xfId="0" applyNumberFormat="1" applyBorder="1"/>
    <xf numFmtId="1" fontId="0" fillId="0" borderId="7" xfId="0" applyNumberFormat="1" applyBorder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4" fillId="0" borderId="0" xfId="0" applyFont="1" applyBorder="1"/>
    <xf numFmtId="43" fontId="4" fillId="0" borderId="29" xfId="1" applyNumberFormat="1" applyFont="1" applyBorder="1"/>
    <xf numFmtId="0" fontId="4" fillId="0" borderId="18" xfId="0" applyFont="1" applyBorder="1"/>
    <xf numFmtId="43" fontId="4" fillId="0" borderId="0" xfId="1" applyNumberFormat="1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43" fontId="5" fillId="0" borderId="0" xfId="1" applyNumberFormat="1" applyFont="1" applyBorder="1"/>
    <xf numFmtId="9" fontId="4" fillId="0" borderId="0" xfId="0" applyNumberFormat="1" applyFont="1" applyBorder="1"/>
    <xf numFmtId="0" fontId="27" fillId="0" borderId="0" xfId="0" applyFont="1" applyBorder="1"/>
    <xf numFmtId="0" fontId="4" fillId="0" borderId="28" xfId="0" applyFont="1" applyBorder="1" applyAlignment="1">
      <alignment horizontal="right"/>
    </xf>
    <xf numFmtId="0" fontId="4" fillId="0" borderId="28" xfId="0" applyFont="1" applyBorder="1"/>
    <xf numFmtId="0" fontId="22" fillId="0" borderId="9" xfId="0" applyFont="1" applyBorder="1"/>
    <xf numFmtId="0" fontId="22" fillId="0" borderId="0" xfId="0" applyFont="1" applyBorder="1"/>
    <xf numFmtId="0" fontId="0" fillId="0" borderId="0" xfId="0" applyFill="1" applyBorder="1" applyAlignment="1">
      <alignment horizontal="left"/>
    </xf>
    <xf numFmtId="0" fontId="0" fillId="0" borderId="10" xfId="0" applyBorder="1"/>
    <xf numFmtId="0" fontId="0" fillId="0" borderId="11" xfId="0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23" xfId="0" applyBorder="1"/>
    <xf numFmtId="10" fontId="4" fillId="0" borderId="24" xfId="0" applyNumberFormat="1" applyFont="1" applyBorder="1"/>
    <xf numFmtId="43" fontId="27" fillId="0" borderId="12" xfId="1" applyNumberFormat="1" applyFont="1" applyBorder="1"/>
    <xf numFmtId="43" fontId="4" fillId="0" borderId="29" xfId="0" applyNumberFormat="1" applyFont="1" applyBorder="1"/>
    <xf numFmtId="43" fontId="28" fillId="0" borderId="0" xfId="0" applyNumberFormat="1" applyFont="1" applyBorder="1"/>
    <xf numFmtId="9" fontId="0" fillId="0" borderId="15" xfId="0" applyNumberFormat="1" applyBorder="1"/>
    <xf numFmtId="0" fontId="0" fillId="0" borderId="33" xfId="0" applyBorder="1"/>
    <xf numFmtId="0" fontId="18" fillId="0" borderId="33" xfId="0" applyFont="1" applyBorder="1"/>
    <xf numFmtId="43" fontId="28" fillId="0" borderId="33" xfId="0" applyNumberFormat="1" applyFont="1" applyBorder="1"/>
    <xf numFmtId="0" fontId="0" fillId="0" borderId="16" xfId="0" applyBorder="1"/>
    <xf numFmtId="2" fontId="0" fillId="0" borderId="0" xfId="0" applyNumberFormat="1" applyFont="1"/>
    <xf numFmtId="0" fontId="29" fillId="0" borderId="0" xfId="0" applyFont="1"/>
    <xf numFmtId="43" fontId="33" fillId="0" borderId="33" xfId="0" applyNumberFormat="1" applyFont="1" applyBorder="1"/>
    <xf numFmtId="43" fontId="26" fillId="0" borderId="0" xfId="0" applyNumberFormat="1" applyFont="1" applyBorder="1"/>
    <xf numFmtId="43" fontId="4" fillId="0" borderId="28" xfId="0" applyNumberFormat="1" applyFont="1" applyBorder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2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2" xfId="0" applyBorder="1"/>
    <xf numFmtId="0" fontId="4" fillId="0" borderId="27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7" xfId="0" applyFont="1" applyBorder="1" applyAlignment="1"/>
    <xf numFmtId="0" fontId="4" fillId="0" borderId="0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43" fontId="27" fillId="0" borderId="0" xfId="1" applyNumberFormat="1" applyFont="1" applyBorder="1"/>
    <xf numFmtId="9" fontId="0" fillId="0" borderId="13" xfId="0" applyNumberFormat="1" applyBorder="1"/>
    <xf numFmtId="0" fontId="18" fillId="0" borderId="26" xfId="0" applyFont="1" applyBorder="1"/>
    <xf numFmtId="43" fontId="2" fillId="0" borderId="0" xfId="0" applyNumberFormat="1" applyFont="1"/>
    <xf numFmtId="0" fontId="0" fillId="0" borderId="2" xfId="0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9" fontId="0" fillId="0" borderId="0" xfId="0" applyNumberFormat="1" applyAlignment="1">
      <alignment horizontal="left"/>
    </xf>
    <xf numFmtId="9" fontId="0" fillId="0" borderId="0" xfId="0" applyNumberFormat="1" applyBorder="1"/>
    <xf numFmtId="0" fontId="36" fillId="0" borderId="0" xfId="0" applyFont="1" applyBorder="1"/>
    <xf numFmtId="0" fontId="9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right"/>
    </xf>
    <xf numFmtId="1" fontId="6" fillId="0" borderId="0" xfId="0" applyNumberFormat="1" applyFont="1" applyBorder="1"/>
    <xf numFmtId="1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10" fontId="0" fillId="0" borderId="32" xfId="0" applyNumberFormat="1" applyBorder="1"/>
    <xf numFmtId="10" fontId="0" fillId="0" borderId="5" xfId="0" applyNumberFormat="1" applyBorder="1"/>
    <xf numFmtId="0" fontId="7" fillId="0" borderId="0" xfId="0" applyFont="1" applyBorder="1"/>
    <xf numFmtId="0" fontId="7" fillId="0" borderId="0" xfId="0" applyFont="1"/>
    <xf numFmtId="43" fontId="37" fillId="0" borderId="0" xfId="0" applyNumberFormat="1" applyFont="1" applyBorder="1"/>
    <xf numFmtId="0" fontId="19" fillId="0" borderId="0" xfId="0" applyFont="1" applyBorder="1"/>
    <xf numFmtId="43" fontId="38" fillId="0" borderId="0" xfId="0" applyNumberFormat="1" applyFont="1" applyBorder="1"/>
    <xf numFmtId="0" fontId="7" fillId="0" borderId="0" xfId="0" applyFont="1" applyBorder="1" applyAlignment="1">
      <alignment horizontal="right"/>
    </xf>
    <xf numFmtId="43" fontId="39" fillId="0" borderId="0" xfId="0" applyNumberFormat="1" applyFont="1" applyBorder="1"/>
    <xf numFmtId="0" fontId="18" fillId="0" borderId="0" xfId="0" applyFont="1" applyAlignment="1">
      <alignment horizontal="left"/>
    </xf>
    <xf numFmtId="10" fontId="8" fillId="0" borderId="8" xfId="2" applyNumberFormat="1" applyFont="1" applyBorder="1"/>
    <xf numFmtId="1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1" fontId="16" fillId="0" borderId="28" xfId="0" applyNumberFormat="1" applyFont="1" applyBorder="1"/>
    <xf numFmtId="10" fontId="17" fillId="0" borderId="31" xfId="0" applyNumberFormat="1" applyFont="1" applyBorder="1"/>
    <xf numFmtId="10" fontId="6" fillId="0" borderId="4" xfId="0" applyNumberFormat="1" applyFont="1" applyBorder="1"/>
    <xf numFmtId="10" fontId="17" fillId="0" borderId="5" xfId="0" applyNumberFormat="1" applyFont="1" applyBorder="1"/>
    <xf numFmtId="9" fontId="0" fillId="0" borderId="6" xfId="0" applyNumberFormat="1" applyBorder="1"/>
    <xf numFmtId="9" fontId="0" fillId="0" borderId="8" xfId="0" applyNumberFormat="1" applyBorder="1"/>
    <xf numFmtId="10" fontId="17" fillId="0" borderId="32" xfId="0" applyNumberFormat="1" applyFont="1" applyBorder="1"/>
    <xf numFmtId="9" fontId="6" fillId="0" borderId="3" xfId="0" quotePrefix="1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" fontId="0" fillId="0" borderId="27" xfId="0" applyNumberFormat="1" applyFont="1" applyBorder="1"/>
    <xf numFmtId="43" fontId="33" fillId="0" borderId="2" xfId="0" applyNumberFormat="1" applyFont="1" applyBorder="1"/>
    <xf numFmtId="0" fontId="4" fillId="0" borderId="15" xfId="0" applyFont="1" applyBorder="1"/>
    <xf numFmtId="0" fontId="4" fillId="0" borderId="33" xfId="0" applyFont="1" applyBorder="1"/>
    <xf numFmtId="9" fontId="0" fillId="0" borderId="8" xfId="0" quotePrefix="1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10" fontId="4" fillId="0" borderId="19" xfId="2" applyNumberFormat="1" applyFont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10" fontId="6" fillId="0" borderId="19" xfId="2" applyNumberFormat="1" applyFont="1" applyBorder="1" applyAlignment="1">
      <alignment horizontal="center"/>
    </xf>
    <xf numFmtId="10" fontId="6" fillId="0" borderId="31" xfId="0" applyNumberFormat="1" applyFont="1" applyBorder="1" applyAlignment="1">
      <alignment horizontal="center"/>
    </xf>
    <xf numFmtId="10" fontId="0" fillId="0" borderId="4" xfId="0" applyNumberFormat="1" applyFont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1" xfId="2" applyNumberFormat="1" applyFont="1" applyBorder="1"/>
    <xf numFmtId="9" fontId="0" fillId="0" borderId="3" xfId="2" applyFont="1" applyBorder="1"/>
    <xf numFmtId="0" fontId="14" fillId="0" borderId="5" xfId="0" applyFont="1" applyBorder="1" applyAlignment="1">
      <alignment horizontal="right"/>
    </xf>
    <xf numFmtId="0" fontId="0" fillId="0" borderId="31" xfId="0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0" fillId="0" borderId="8" xfId="0" applyNumberFormat="1" applyBorder="1" applyAlignment="1">
      <alignment horizontal="right"/>
    </xf>
    <xf numFmtId="1" fontId="6" fillId="0" borderId="2" xfId="0" applyNumberFormat="1" applyFont="1" applyBorder="1"/>
    <xf numFmtId="2" fontId="6" fillId="0" borderId="2" xfId="0" applyNumberFormat="1" applyFont="1" applyBorder="1" applyAlignment="1">
      <alignment horizontal="right"/>
    </xf>
    <xf numFmtId="0" fontId="18" fillId="0" borderId="4" xfId="0" applyFont="1" applyBorder="1"/>
    <xf numFmtId="0" fontId="18" fillId="0" borderId="25" xfId="0" applyFont="1" applyBorder="1"/>
    <xf numFmtId="14" fontId="0" fillId="0" borderId="26" xfId="0" applyNumberFormat="1" applyBorder="1" applyAlignment="1">
      <alignment horizontal="center"/>
    </xf>
    <xf numFmtId="10" fontId="0" fillId="0" borderId="3" xfId="2" applyNumberFormat="1" applyFont="1" applyBorder="1"/>
    <xf numFmtId="0" fontId="0" fillId="0" borderId="28" xfId="0" applyBorder="1" applyAlignment="1">
      <alignment horizontal="center"/>
    </xf>
    <xf numFmtId="0" fontId="18" fillId="0" borderId="28" xfId="0" applyFont="1" applyBorder="1"/>
    <xf numFmtId="2" fontId="0" fillId="0" borderId="0" xfId="0" applyNumberForma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18" fillId="0" borderId="30" xfId="0" applyFont="1" applyBorder="1"/>
    <xf numFmtId="0" fontId="18" fillId="0" borderId="31" xfId="0" applyFont="1" applyBorder="1"/>
    <xf numFmtId="0" fontId="18" fillId="0" borderId="5" xfId="0" applyFont="1" applyBorder="1"/>
    <xf numFmtId="2" fontId="11" fillId="0" borderId="5" xfId="0" applyNumberFormat="1" applyFont="1" applyBorder="1"/>
    <xf numFmtId="43" fontId="40" fillId="0" borderId="3" xfId="0" applyNumberFormat="1" applyFont="1" applyBorder="1"/>
    <xf numFmtId="43" fontId="18" fillId="0" borderId="8" xfId="0" applyNumberFormat="1" applyFont="1" applyBorder="1"/>
    <xf numFmtId="10" fontId="18" fillId="0" borderId="1" xfId="0" applyNumberFormat="1" applyFont="1" applyBorder="1" applyAlignment="1">
      <alignment horizontal="left"/>
    </xf>
    <xf numFmtId="10" fontId="18" fillId="0" borderId="6" xfId="0" applyNumberFormat="1" applyFont="1" applyFill="1" applyBorder="1" applyAlignment="1">
      <alignment horizontal="left"/>
    </xf>
    <xf numFmtId="43" fontId="33" fillId="0" borderId="0" xfId="0" applyNumberFormat="1" applyFont="1" applyBorder="1"/>
    <xf numFmtId="9" fontId="0" fillId="0" borderId="28" xfId="2" applyFont="1" applyBorder="1"/>
    <xf numFmtId="10" fontId="4" fillId="0" borderId="0" xfId="0" applyNumberFormat="1" applyFont="1" applyBorder="1"/>
    <xf numFmtId="9" fontId="0" fillId="0" borderId="0" xfId="2" applyFont="1" applyBorder="1"/>
    <xf numFmtId="0" fontId="14" fillId="0" borderId="0" xfId="0" applyFont="1" applyBorder="1" applyAlignment="1">
      <alignment horizontal="right"/>
    </xf>
    <xf numFmtId="0" fontId="35" fillId="0" borderId="2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41" fillId="0" borderId="0" xfId="0" applyFont="1"/>
    <xf numFmtId="43" fontId="28" fillId="0" borderId="15" xfId="0" applyNumberFormat="1" applyFont="1" applyBorder="1"/>
    <xf numFmtId="0" fontId="28" fillId="0" borderId="16" xfId="0" applyFont="1" applyBorder="1"/>
    <xf numFmtId="43" fontId="28" fillId="0" borderId="27" xfId="0" applyNumberFormat="1" applyFont="1" applyBorder="1"/>
    <xf numFmtId="43" fontId="28" fillId="0" borderId="20" xfId="0" applyNumberFormat="1" applyFont="1" applyBorder="1"/>
    <xf numFmtId="0" fontId="41" fillId="0" borderId="34" xfId="0" applyFont="1" applyBorder="1"/>
    <xf numFmtId="43" fontId="28" fillId="0" borderId="6" xfId="0" applyNumberFormat="1" applyFont="1" applyBorder="1"/>
    <xf numFmtId="0" fontId="41" fillId="0" borderId="8" xfId="0" applyFont="1" applyBorder="1"/>
    <xf numFmtId="0" fontId="41" fillId="0" borderId="14" xfId="0" applyFont="1" applyBorder="1"/>
    <xf numFmtId="0" fontId="28" fillId="0" borderId="0" xfId="0" applyFont="1" applyBorder="1"/>
    <xf numFmtId="0" fontId="4" fillId="0" borderId="22" xfId="0" applyFont="1" applyBorder="1"/>
    <xf numFmtId="9" fontId="0" fillId="0" borderId="27" xfId="0" applyNumberFormat="1" applyBorder="1"/>
    <xf numFmtId="0" fontId="18" fillId="0" borderId="27" xfId="0" applyFont="1" applyBorder="1"/>
    <xf numFmtId="43" fontId="18" fillId="0" borderId="27" xfId="0" applyNumberFormat="1" applyFont="1" applyBorder="1"/>
    <xf numFmtId="0" fontId="32" fillId="0" borderId="9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1" fillId="0" borderId="26" xfId="0" applyNumberFormat="1" applyFont="1" applyBorder="1"/>
    <xf numFmtId="43" fontId="41" fillId="0" borderId="0" xfId="0" applyNumberFormat="1" applyFont="1" applyBorder="1"/>
    <xf numFmtId="0" fontId="0" fillId="0" borderId="0" xfId="0" applyFill="1" applyBorder="1" applyAlignment="1">
      <alignment horizontal="right"/>
    </xf>
    <xf numFmtId="1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10" fontId="43" fillId="0" borderId="0" xfId="2" applyNumberFormat="1" applyFont="1" applyBorder="1"/>
    <xf numFmtId="10" fontId="43" fillId="0" borderId="5" xfId="2" applyNumberFormat="1" applyFont="1" applyBorder="1"/>
    <xf numFmtId="164" fontId="0" fillId="0" borderId="0" xfId="1" applyNumberFormat="1" applyFont="1" applyAlignment="1">
      <alignment horizontal="left"/>
    </xf>
    <xf numFmtId="0" fontId="4" fillId="0" borderId="0" xfId="0" applyFont="1" applyFill="1" applyBorder="1" applyAlignment="1">
      <alignment horizontal="right"/>
    </xf>
    <xf numFmtId="7" fontId="0" fillId="0" borderId="0" xfId="0" applyNumberFormat="1" applyBorder="1"/>
    <xf numFmtId="0" fontId="13" fillId="0" borderId="0" xfId="0" applyFont="1" applyBorder="1" applyAlignment="1">
      <alignment horizontal="center"/>
    </xf>
    <xf numFmtId="0" fontId="18" fillId="0" borderId="29" xfId="0" applyFont="1" applyBorder="1"/>
    <xf numFmtId="0" fontId="0" fillId="0" borderId="29" xfId="0" applyBorder="1"/>
    <xf numFmtId="10" fontId="8" fillId="0" borderId="29" xfId="2" applyNumberFormat="1" applyFont="1" applyBorder="1"/>
    <xf numFmtId="10" fontId="21" fillId="0" borderId="29" xfId="2" applyNumberFormat="1" applyFont="1" applyBorder="1"/>
    <xf numFmtId="0" fontId="18" fillId="0" borderId="3" xfId="0" applyFont="1" applyBorder="1"/>
    <xf numFmtId="0" fontId="13" fillId="0" borderId="4" xfId="0" applyFont="1" applyFill="1" applyBorder="1" applyAlignment="1">
      <alignment horizontal="center"/>
    </xf>
    <xf numFmtId="0" fontId="0" fillId="0" borderId="5" xfId="0" applyBorder="1"/>
    <xf numFmtId="9" fontId="6" fillId="0" borderId="5" xfId="0" applyNumberFormat="1" applyFont="1" applyBorder="1" applyAlignment="1">
      <alignment horizontal="center"/>
    </xf>
    <xf numFmtId="9" fontId="13" fillId="0" borderId="29" xfId="0" quotePrefix="1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4" fillId="0" borderId="31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18" fillId="0" borderId="37" xfId="0" applyFont="1" applyBorder="1"/>
    <xf numFmtId="0" fontId="29" fillId="0" borderId="2" xfId="0" applyFont="1" applyBorder="1"/>
    <xf numFmtId="0" fontId="18" fillId="0" borderId="19" xfId="0" applyFont="1" applyBorder="1"/>
    <xf numFmtId="0" fontId="18" fillId="0" borderId="6" xfId="0" applyFont="1" applyBorder="1"/>
    <xf numFmtId="1" fontId="18" fillId="0" borderId="7" xfId="0" applyNumberFormat="1" applyFont="1" applyBorder="1" applyAlignment="1">
      <alignment horizontal="center"/>
    </xf>
    <xf numFmtId="10" fontId="43" fillId="0" borderId="6" xfId="2" applyNumberFormat="1" applyFont="1" applyBorder="1"/>
    <xf numFmtId="10" fontId="44" fillId="0" borderId="36" xfId="0" applyNumberFormat="1" applyFont="1" applyBorder="1"/>
    <xf numFmtId="10" fontId="4" fillId="0" borderId="24" xfId="2" quotePrefix="1" applyNumberFormat="1" applyFont="1" applyBorder="1"/>
    <xf numFmtId="10" fontId="4" fillId="0" borderId="23" xfId="2" applyNumberFormat="1" applyFont="1" applyBorder="1"/>
    <xf numFmtId="0" fontId="22" fillId="0" borderId="1" xfId="0" applyFont="1" applyBorder="1" applyAlignment="1">
      <alignment horizontal="right"/>
    </xf>
    <xf numFmtId="0" fontId="0" fillId="0" borderId="6" xfId="0" applyFill="1" applyBorder="1" applyAlignment="1">
      <alignment horizontal="left"/>
    </xf>
    <xf numFmtId="167" fontId="4" fillId="0" borderId="27" xfId="0" applyNumberFormat="1" applyFont="1" applyBorder="1" applyAlignment="1">
      <alignment horizontal="right"/>
    </xf>
    <xf numFmtId="167" fontId="0" fillId="0" borderId="26" xfId="0" applyNumberFormat="1" applyBorder="1" applyAlignment="1">
      <alignment horizontal="right"/>
    </xf>
    <xf numFmtId="1" fontId="0" fillId="0" borderId="9" xfId="0" applyNumberFormat="1" applyBorder="1"/>
    <xf numFmtId="168" fontId="0" fillId="0" borderId="10" xfId="0" applyNumberFormat="1" applyBorder="1"/>
    <xf numFmtId="1" fontId="0" fillId="0" borderId="18" xfId="0" applyNumberFormat="1" applyBorder="1"/>
    <xf numFmtId="0" fontId="8" fillId="0" borderId="0" xfId="0" applyFont="1" applyBorder="1" applyAlignment="1">
      <alignment horizontal="center"/>
    </xf>
    <xf numFmtId="2" fontId="6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left"/>
    </xf>
    <xf numFmtId="43" fontId="28" fillId="0" borderId="35" xfId="0" applyNumberFormat="1" applyFont="1" applyBorder="1"/>
    <xf numFmtId="7" fontId="33" fillId="0" borderId="2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28" fillId="0" borderId="3" xfId="0" applyFont="1" applyBorder="1"/>
    <xf numFmtId="0" fontId="4" fillId="0" borderId="38" xfId="0" applyFont="1" applyBorder="1"/>
    <xf numFmtId="0" fontId="27" fillId="0" borderId="33" xfId="0" applyFont="1" applyBorder="1"/>
    <xf numFmtId="7" fontId="33" fillId="0" borderId="33" xfId="0" applyNumberFormat="1" applyFont="1" applyBorder="1"/>
    <xf numFmtId="43" fontId="4" fillId="0" borderId="16" xfId="1" applyNumberFormat="1" applyFont="1" applyBorder="1"/>
    <xf numFmtId="0" fontId="4" fillId="0" borderId="6" xfId="0" applyFont="1" applyBorder="1"/>
    <xf numFmtId="0" fontId="41" fillId="0" borderId="35" xfId="0" applyFont="1" applyBorder="1"/>
    <xf numFmtId="2" fontId="9" fillId="0" borderId="4" xfId="0" applyNumberFormat="1" applyFont="1" applyBorder="1" applyAlignment="1">
      <alignment horizontal="left"/>
    </xf>
    <xf numFmtId="2" fontId="0" fillId="0" borderId="0" xfId="0" applyNumberFormat="1" applyAlignment="1">
      <alignment horizontal="center"/>
    </xf>
    <xf numFmtId="9" fontId="0" fillId="0" borderId="1" xfId="0" applyNumberFormat="1" applyBorder="1"/>
    <xf numFmtId="0" fontId="18" fillId="0" borderId="7" xfId="0" applyFont="1" applyBorder="1"/>
    <xf numFmtId="43" fontId="28" fillId="0" borderId="2" xfId="0" applyNumberFormat="1" applyFont="1" applyBorder="1"/>
    <xf numFmtId="43" fontId="28" fillId="0" borderId="7" xfId="0" applyNumberFormat="1" applyFont="1" applyBorder="1"/>
    <xf numFmtId="0" fontId="18" fillId="0" borderId="7" xfId="0" applyFont="1" applyFill="1" applyBorder="1"/>
    <xf numFmtId="43" fontId="28" fillId="0" borderId="8" xfId="0" applyNumberFormat="1" applyFont="1" applyBorder="1"/>
    <xf numFmtId="9" fontId="9" fillId="0" borderId="1" xfId="0" applyNumberFormat="1" applyFont="1" applyBorder="1"/>
    <xf numFmtId="0" fontId="9" fillId="0" borderId="2" xfId="0" applyFont="1" applyBorder="1"/>
    <xf numFmtId="0" fontId="29" fillId="0" borderId="0" xfId="0" applyFont="1" applyAlignment="1">
      <alignment horizontal="right"/>
    </xf>
    <xf numFmtId="0" fontId="29" fillId="0" borderId="0" xfId="0" quotePrefix="1" applyFont="1" applyAlignment="1">
      <alignment horizontal="right"/>
    </xf>
    <xf numFmtId="2" fontId="44" fillId="0" borderId="0" xfId="2" applyNumberFormat="1" applyFont="1"/>
    <xf numFmtId="43" fontId="2" fillId="0" borderId="0" xfId="0" applyNumberFormat="1" applyFont="1" applyBorder="1"/>
    <xf numFmtId="0" fontId="29" fillId="0" borderId="0" xfId="0" applyFont="1" applyBorder="1"/>
    <xf numFmtId="9" fontId="0" fillId="0" borderId="2" xfId="0" applyNumberFormat="1" applyBorder="1"/>
    <xf numFmtId="0" fontId="29" fillId="0" borderId="6" xfId="0" applyFont="1" applyBorder="1"/>
    <xf numFmtId="9" fontId="0" fillId="0" borderId="7" xfId="0" applyNumberFormat="1" applyBorder="1"/>
    <xf numFmtId="2" fontId="18" fillId="0" borderId="0" xfId="0" applyNumberFormat="1" applyFont="1" applyAlignment="1">
      <alignment horizontal="center"/>
    </xf>
    <xf numFmtId="0" fontId="46" fillId="0" borderId="0" xfId="0" applyFont="1"/>
    <xf numFmtId="2" fontId="46" fillId="0" borderId="0" xfId="0" applyNumberFormat="1" applyFont="1" applyAlignment="1">
      <alignment horizontal="center"/>
    </xf>
    <xf numFmtId="0" fontId="8" fillId="0" borderId="0" xfId="0" applyFont="1" applyBorder="1"/>
    <xf numFmtId="7" fontId="0" fillId="0" borderId="0" xfId="0" applyNumberFormat="1" applyBorder="1" applyAlignment="1">
      <alignment horizontal="right"/>
    </xf>
    <xf numFmtId="0" fontId="13" fillId="0" borderId="0" xfId="0" applyFont="1"/>
    <xf numFmtId="10" fontId="0" fillId="0" borderId="0" xfId="2" applyNumberFormat="1" applyFont="1"/>
    <xf numFmtId="0" fontId="9" fillId="0" borderId="0" xfId="0" applyFont="1"/>
    <xf numFmtId="43" fontId="0" fillId="0" borderId="5" xfId="0" applyNumberFormat="1" applyBorder="1"/>
    <xf numFmtId="43" fontId="0" fillId="0" borderId="8" xfId="0" applyNumberFormat="1" applyBorder="1"/>
    <xf numFmtId="0" fontId="18" fillId="0" borderId="28" xfId="0" applyFont="1" applyBorder="1" applyAlignment="1">
      <alignment horizontal="center"/>
    </xf>
    <xf numFmtId="0" fontId="18" fillId="0" borderId="0" xfId="0" quotePrefix="1" applyFont="1"/>
    <xf numFmtId="1" fontId="18" fillId="0" borderId="0" xfId="2" applyNumberFormat="1" applyFont="1"/>
    <xf numFmtId="9" fontId="0" fillId="0" borderId="0" xfId="2" applyFont="1" applyAlignment="1">
      <alignment horizontal="left"/>
    </xf>
    <xf numFmtId="1" fontId="14" fillId="0" borderId="0" xfId="0" applyNumberFormat="1" applyFont="1"/>
    <xf numFmtId="9" fontId="18" fillId="0" borderId="0" xfId="2" applyFont="1" applyAlignment="1">
      <alignment horizontal="left"/>
    </xf>
    <xf numFmtId="2" fontId="18" fillId="0" borderId="0" xfId="0" applyNumberFormat="1" applyFont="1"/>
    <xf numFmtId="9" fontId="18" fillId="0" borderId="0" xfId="2" applyFont="1"/>
    <xf numFmtId="0" fontId="11" fillId="0" borderId="0" xfId="0" quotePrefix="1" applyFont="1"/>
    <xf numFmtId="9" fontId="29" fillId="0" borderId="0" xfId="2" applyFont="1" applyAlignment="1">
      <alignment horizontal="left"/>
    </xf>
    <xf numFmtId="9" fontId="9" fillId="0" borderId="0" xfId="2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9" fontId="9" fillId="0" borderId="0" xfId="2" applyFont="1"/>
    <xf numFmtId="171" fontId="18" fillId="0" borderId="5" xfId="0" applyNumberFormat="1" applyFont="1" applyBorder="1" applyAlignment="1">
      <alignment horizontal="center"/>
    </xf>
    <xf numFmtId="171" fontId="18" fillId="0" borderId="0" xfId="0" applyNumberFormat="1" applyFont="1" applyBorder="1" applyAlignment="1">
      <alignment horizontal="right"/>
    </xf>
    <xf numFmtId="171" fontId="14" fillId="0" borderId="0" xfId="0" applyNumberFormat="1" applyFont="1" applyBorder="1" applyAlignment="1">
      <alignment horizontal="right"/>
    </xf>
    <xf numFmtId="2" fontId="14" fillId="0" borderId="0" xfId="0" applyNumberFormat="1" applyFont="1" applyBorder="1" applyAlignment="1">
      <alignment horizontal="right"/>
    </xf>
    <xf numFmtId="10" fontId="14" fillId="0" borderId="0" xfId="2" quotePrefix="1" applyNumberFormat="1" applyFont="1" applyBorder="1"/>
    <xf numFmtId="43" fontId="47" fillId="0" borderId="0" xfId="0" applyNumberFormat="1" applyFont="1" applyBorder="1" applyAlignment="1">
      <alignment horizontal="right"/>
    </xf>
    <xf numFmtId="172" fontId="18" fillId="0" borderId="0" xfId="0" applyNumberFormat="1" applyFont="1" applyAlignment="1">
      <alignment horizontal="left"/>
    </xf>
    <xf numFmtId="0" fontId="14" fillId="0" borderId="28" xfId="0" applyFont="1" applyBorder="1" applyAlignment="1">
      <alignment horizontal="center"/>
    </xf>
    <xf numFmtId="1" fontId="14" fillId="0" borderId="0" xfId="0" quotePrefix="1" applyNumberFormat="1" applyFont="1" applyAlignment="1">
      <alignment horizontal="left"/>
    </xf>
    <xf numFmtId="2" fontId="21" fillId="0" borderId="0" xfId="0" applyNumberFormat="1" applyFont="1"/>
    <xf numFmtId="43" fontId="27" fillId="0" borderId="0" xfId="1" applyNumberFormat="1" applyFont="1" applyBorder="1" applyAlignment="1">
      <alignment horizontal="right"/>
    </xf>
    <xf numFmtId="169" fontId="0" fillId="0" borderId="0" xfId="0" applyNumberFormat="1"/>
    <xf numFmtId="10" fontId="0" fillId="0" borderId="0" xfId="2" applyNumberFormat="1" applyFont="1" applyAlignment="1">
      <alignment horizontal="right"/>
    </xf>
    <xf numFmtId="10" fontId="6" fillId="0" borderId="0" xfId="2" applyNumberFormat="1" applyFont="1" applyAlignment="1">
      <alignment horizontal="right"/>
    </xf>
    <xf numFmtId="0" fontId="14" fillId="0" borderId="0" xfId="0" quotePrefix="1" applyFont="1" applyAlignment="1">
      <alignment horizontal="right"/>
    </xf>
    <xf numFmtId="9" fontId="18" fillId="0" borderId="0" xfId="2" applyFont="1" applyBorder="1" applyAlignment="1">
      <alignment horizontal="right"/>
    </xf>
    <xf numFmtId="0" fontId="18" fillId="0" borderId="0" xfId="0" applyFont="1" applyAlignment="1"/>
    <xf numFmtId="2" fontId="6" fillId="0" borderId="0" xfId="0" applyNumberFormat="1" applyFont="1" applyAlignment="1">
      <alignment horizontal="center"/>
    </xf>
    <xf numFmtId="2" fontId="0" fillId="0" borderId="0" xfId="2" applyNumberFormat="1" applyFont="1" applyAlignment="1">
      <alignment horizontal="center"/>
    </xf>
    <xf numFmtId="9" fontId="0" fillId="0" borderId="12" xfId="0" applyNumberFormat="1" applyBorder="1"/>
    <xf numFmtId="1" fontId="0" fillId="0" borderId="11" xfId="0" applyNumberFormat="1" applyBorder="1"/>
    <xf numFmtId="0" fontId="0" fillId="0" borderId="28" xfId="0" applyBorder="1" applyAlignment="1">
      <alignment horizontal="left"/>
    </xf>
    <xf numFmtId="2" fontId="0" fillId="0" borderId="12" xfId="0" applyNumberFormat="1" applyBorder="1"/>
    <xf numFmtId="2" fontId="18" fillId="0" borderId="30" xfId="0" applyNumberFormat="1" applyFont="1" applyBorder="1" applyAlignment="1">
      <alignment horizontal="right"/>
    </xf>
    <xf numFmtId="2" fontId="4" fillId="0" borderId="31" xfId="0" applyNumberFormat="1" applyFont="1" applyBorder="1" applyAlignment="1">
      <alignment horizontal="right"/>
    </xf>
    <xf numFmtId="2" fontId="16" fillId="0" borderId="32" xfId="0" applyNumberFormat="1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0" fontId="35" fillId="0" borderId="0" xfId="0" applyFont="1"/>
    <xf numFmtId="170" fontId="18" fillId="0" borderId="0" xfId="0" applyNumberFormat="1" applyFont="1" applyBorder="1"/>
    <xf numFmtId="43" fontId="0" fillId="0" borderId="0" xfId="0" applyNumberFormat="1" applyBorder="1"/>
    <xf numFmtId="10" fontId="0" fillId="0" borderId="8" xfId="0" applyNumberFormat="1" applyBorder="1"/>
    <xf numFmtId="2" fontId="6" fillId="0" borderId="7" xfId="0" applyNumberFormat="1" applyFont="1" applyBorder="1"/>
    <xf numFmtId="0" fontId="0" fillId="0" borderId="7" xfId="0" applyBorder="1" applyAlignment="1">
      <alignment horizontal="center"/>
    </xf>
    <xf numFmtId="43" fontId="0" fillId="0" borderId="7" xfId="0" applyNumberFormat="1" applyBorder="1"/>
    <xf numFmtId="10" fontId="6" fillId="0" borderId="8" xfId="0" applyNumberFormat="1" applyFont="1" applyBorder="1"/>
    <xf numFmtId="10" fontId="0" fillId="0" borderId="0" xfId="0" applyNumberFormat="1" applyBorder="1"/>
    <xf numFmtId="0" fontId="0" fillId="0" borderId="0" xfId="0" applyAlignment="1">
      <alignment horizontal="right"/>
    </xf>
    <xf numFmtId="176" fontId="18" fillId="0" borderId="8" xfId="0" applyNumberFormat="1" applyFont="1" applyBorder="1"/>
    <xf numFmtId="0" fontId="14" fillId="0" borderId="2" xfId="0" applyFont="1" applyBorder="1" applyAlignment="1">
      <alignment horizontal="left"/>
    </xf>
    <xf numFmtId="0" fontId="14" fillId="0" borderId="2" xfId="0" applyFont="1" applyBorder="1"/>
    <xf numFmtId="0" fontId="18" fillId="0" borderId="0" xfId="0" applyFont="1" applyBorder="1" applyAlignment="1">
      <alignment horizontal="center"/>
    </xf>
    <xf numFmtId="9" fontId="9" fillId="0" borderId="0" xfId="2" applyFont="1" applyAlignment="1">
      <alignment horizontal="right"/>
    </xf>
    <xf numFmtId="171" fontId="9" fillId="0" borderId="0" xfId="0" applyNumberFormat="1" applyFont="1" applyBorder="1" applyAlignment="1">
      <alignment horizontal="right"/>
    </xf>
    <xf numFmtId="171" fontId="9" fillId="0" borderId="0" xfId="0" applyNumberFormat="1" applyFont="1" applyBorder="1" applyAlignment="1"/>
    <xf numFmtId="1" fontId="9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14" fillId="0" borderId="0" xfId="0" applyFont="1" applyAlignment="1">
      <alignment horizontal="right"/>
    </xf>
    <xf numFmtId="1" fontId="0" fillId="0" borderId="0" xfId="2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71" fontId="41" fillId="0" borderId="0" xfId="0" applyNumberFormat="1" applyFont="1" applyBorder="1" applyAlignment="1">
      <alignment horizontal="right"/>
    </xf>
    <xf numFmtId="0" fontId="18" fillId="0" borderId="1" xfId="0" quotePrefix="1" applyFont="1" applyBorder="1"/>
    <xf numFmtId="0" fontId="14" fillId="0" borderId="2" xfId="0" applyFont="1" applyBorder="1" applyAlignment="1">
      <alignment horizontal="right"/>
    </xf>
    <xf numFmtId="9" fontId="0" fillId="0" borderId="0" xfId="2" applyFont="1" applyBorder="1" applyAlignment="1">
      <alignment horizontal="left"/>
    </xf>
    <xf numFmtId="2" fontId="18" fillId="0" borderId="0" xfId="0" applyNumberFormat="1" applyFont="1" applyBorder="1" applyAlignment="1">
      <alignment horizontal="center"/>
    </xf>
    <xf numFmtId="2" fontId="9" fillId="0" borderId="0" xfId="0" applyNumberFormat="1" applyFont="1" applyBorder="1"/>
    <xf numFmtId="9" fontId="9" fillId="0" borderId="0" xfId="2" applyFont="1" applyBorder="1" applyAlignment="1">
      <alignment horizontal="right"/>
    </xf>
    <xf numFmtId="1" fontId="41" fillId="0" borderId="0" xfId="2" applyNumberFormat="1" applyFont="1" applyBorder="1" applyAlignment="1">
      <alignment horizontal="right"/>
    </xf>
    <xf numFmtId="9" fontId="9" fillId="0" borderId="0" xfId="2" applyFont="1" applyBorder="1"/>
    <xf numFmtId="10" fontId="28" fillId="0" borderId="4" xfId="2" applyNumberFormat="1" applyFont="1" applyBorder="1" applyAlignment="1">
      <alignment horizontal="right"/>
    </xf>
    <xf numFmtId="10" fontId="28" fillId="0" borderId="0" xfId="2" applyNumberFormat="1" applyFont="1" applyBorder="1" applyAlignment="1">
      <alignment horizontal="right"/>
    </xf>
    <xf numFmtId="171" fontId="0" fillId="0" borderId="0" xfId="0" applyNumberFormat="1" applyBorder="1"/>
    <xf numFmtId="1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18" fillId="0" borderId="0" xfId="0" applyNumberFormat="1" applyFont="1" applyBorder="1"/>
    <xf numFmtId="164" fontId="0" fillId="0" borderId="5" xfId="0" applyNumberFormat="1" applyBorder="1"/>
    <xf numFmtId="0" fontId="18" fillId="0" borderId="9" xfId="0" quotePrefix="1" applyFont="1" applyBorder="1"/>
    <xf numFmtId="0" fontId="14" fillId="0" borderId="27" xfId="0" applyFont="1" applyBorder="1" applyAlignment="1">
      <alignment horizontal="right"/>
    </xf>
    <xf numFmtId="43" fontId="0" fillId="0" borderId="29" xfId="0" applyNumberFormat="1" applyBorder="1"/>
    <xf numFmtId="0" fontId="14" fillId="0" borderId="18" xfId="0" applyFont="1" applyBorder="1"/>
    <xf numFmtId="10" fontId="28" fillId="0" borderId="11" xfId="2" applyNumberFormat="1" applyFont="1" applyBorder="1" applyAlignment="1">
      <alignment horizontal="right"/>
    </xf>
    <xf numFmtId="10" fontId="28" fillId="0" borderId="28" xfId="2" applyNumberFormat="1" applyFont="1" applyBorder="1" applyAlignment="1">
      <alignment horizontal="right"/>
    </xf>
    <xf numFmtId="2" fontId="18" fillId="0" borderId="28" xfId="0" applyNumberFormat="1" applyFont="1" applyBorder="1" applyAlignment="1">
      <alignment horizontal="center"/>
    </xf>
    <xf numFmtId="2" fontId="0" fillId="0" borderId="28" xfId="0" applyNumberFormat="1" applyBorder="1"/>
    <xf numFmtId="9" fontId="9" fillId="0" borderId="28" xfId="2" applyFont="1" applyBorder="1" applyAlignment="1">
      <alignment horizontal="right"/>
    </xf>
    <xf numFmtId="1" fontId="0" fillId="0" borderId="28" xfId="0" applyNumberFormat="1" applyBorder="1" applyAlignment="1">
      <alignment horizontal="right"/>
    </xf>
    <xf numFmtId="43" fontId="0" fillId="0" borderId="28" xfId="0" applyNumberFormat="1" applyBorder="1"/>
    <xf numFmtId="43" fontId="18" fillId="0" borderId="28" xfId="0" applyNumberFormat="1" applyFont="1" applyBorder="1"/>
    <xf numFmtId="43" fontId="0" fillId="0" borderId="12" xfId="0" applyNumberFormat="1" applyBorder="1"/>
    <xf numFmtId="0" fontId="49" fillId="0" borderId="0" xfId="0" applyFont="1"/>
    <xf numFmtId="10" fontId="49" fillId="0" borderId="0" xfId="2" applyNumberFormat="1" applyFont="1"/>
    <xf numFmtId="7" fontId="0" fillId="0" borderId="7" xfId="0" applyNumberFormat="1" applyBorder="1"/>
    <xf numFmtId="2" fontId="14" fillId="0" borderId="0" xfId="0" applyNumberFormat="1" applyFont="1" applyAlignment="1">
      <alignment horizontal="center"/>
    </xf>
    <xf numFmtId="0" fontId="48" fillId="0" borderId="4" xfId="0" applyFont="1" applyBorder="1"/>
    <xf numFmtId="0" fontId="48" fillId="0" borderId="0" xfId="0" applyFont="1" applyBorder="1"/>
    <xf numFmtId="184" fontId="9" fillId="0" borderId="5" xfId="2" applyNumberFormat="1" applyFont="1" applyBorder="1" applyAlignment="1">
      <alignment horizontal="center"/>
    </xf>
    <xf numFmtId="7" fontId="48" fillId="0" borderId="5" xfId="0" applyNumberFormat="1" applyFont="1" applyBorder="1" applyAlignment="1">
      <alignment horizontal="center"/>
    </xf>
    <xf numFmtId="171" fontId="0" fillId="0" borderId="5" xfId="0" applyNumberFormat="1" applyBorder="1" applyAlignment="1">
      <alignment horizontal="center"/>
    </xf>
    <xf numFmtId="7" fontId="6" fillId="0" borderId="0" xfId="0" applyNumberFormat="1" applyFont="1"/>
    <xf numFmtId="165" fontId="49" fillId="0" borderId="0" xfId="2" applyNumberFormat="1" applyFont="1"/>
    <xf numFmtId="169" fontId="0" fillId="0" borderId="29" xfId="0" applyNumberFormat="1" applyBorder="1"/>
    <xf numFmtId="7" fontId="0" fillId="0" borderId="0" xfId="0" applyNumberFormat="1" applyAlignment="1">
      <alignment horizontal="right"/>
    </xf>
    <xf numFmtId="10" fontId="0" fillId="0" borderId="0" xfId="2" applyNumberFormat="1" applyFont="1" applyBorder="1"/>
    <xf numFmtId="10" fontId="0" fillId="0" borderId="0" xfId="2" applyNumberFormat="1" applyFont="1" applyBorder="1" applyAlignment="1">
      <alignment horizontal="right"/>
    </xf>
    <xf numFmtId="0" fontId="0" fillId="0" borderId="0" xfId="0" quotePrefix="1" applyBorder="1"/>
    <xf numFmtId="43" fontId="14" fillId="0" borderId="0" xfId="0" applyNumberFormat="1" applyFont="1" applyBorder="1"/>
    <xf numFmtId="0" fontId="13" fillId="0" borderId="0" xfId="0" applyFont="1" applyBorder="1"/>
    <xf numFmtId="1" fontId="18" fillId="0" borderId="0" xfId="2" applyNumberFormat="1" applyFont="1" applyBorder="1"/>
    <xf numFmtId="9" fontId="18" fillId="0" borderId="0" xfId="0" applyNumberFormat="1" applyFont="1" applyBorder="1"/>
    <xf numFmtId="7" fontId="13" fillId="0" borderId="0" xfId="0" applyNumberFormat="1" applyFont="1"/>
    <xf numFmtId="2" fontId="0" fillId="0" borderId="0" xfId="0" applyNumberFormat="1" applyAlignment="1"/>
    <xf numFmtId="171" fontId="9" fillId="0" borderId="28" xfId="0" applyNumberFormat="1" applyFont="1" applyBorder="1" applyAlignment="1">
      <alignment horizontal="right"/>
    </xf>
    <xf numFmtId="0" fontId="18" fillId="0" borderId="0" xfId="0" applyFont="1" applyFill="1" applyBorder="1"/>
    <xf numFmtId="165" fontId="28" fillId="0" borderId="0" xfId="2" applyNumberFormat="1" applyFont="1"/>
    <xf numFmtId="2" fontId="0" fillId="0" borderId="33" xfId="0" applyNumberFormat="1" applyBorder="1"/>
    <xf numFmtId="0" fontId="0" fillId="0" borderId="33" xfId="0" applyBorder="1" applyAlignment="1">
      <alignment horizontal="right"/>
    </xf>
    <xf numFmtId="0" fontId="13" fillId="0" borderId="0" xfId="0" quotePrefix="1" applyFont="1" applyBorder="1" applyAlignment="1">
      <alignment horizontal="right"/>
    </xf>
    <xf numFmtId="0" fontId="0" fillId="0" borderId="4" xfId="0" applyFill="1" applyBorder="1"/>
    <xf numFmtId="2" fontId="0" fillId="0" borderId="5" xfId="0" applyNumberFormat="1" applyBorder="1"/>
    <xf numFmtId="171" fontId="14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rightToLeft="1" tabSelected="1" zoomScaleNormal="100" workbookViewId="0">
      <selection activeCell="E12" sqref="E12"/>
    </sheetView>
  </sheetViews>
  <sheetFormatPr defaultRowHeight="14.25" x14ac:dyDescent="0.2"/>
  <cols>
    <col min="1" max="1" width="1.875" customWidth="1"/>
    <col min="2" max="2" width="4" customWidth="1"/>
    <col min="3" max="3" width="3.375" customWidth="1"/>
    <col min="4" max="4" width="5.5" customWidth="1"/>
    <col min="5" max="5" width="5.25" customWidth="1"/>
    <col min="6" max="6" width="5.875" customWidth="1"/>
    <col min="7" max="7" width="8.25" customWidth="1"/>
    <col min="8" max="8" width="9.875" customWidth="1"/>
    <col min="9" max="9" width="10.25" customWidth="1"/>
    <col min="10" max="10" width="9.125" customWidth="1"/>
    <col min="11" max="11" width="9.875" customWidth="1"/>
    <col min="12" max="12" width="11.125" customWidth="1"/>
    <col min="13" max="13" width="22.75" customWidth="1"/>
    <col min="14" max="14" width="12.375" bestFit="1" customWidth="1"/>
    <col min="15" max="15" width="1.75" customWidth="1"/>
    <col min="16" max="16" width="9.875" bestFit="1" customWidth="1"/>
  </cols>
  <sheetData>
    <row r="1" spans="1:15" ht="15" thickBot="1" x14ac:dyDescent="0.25">
      <c r="L1" t="s">
        <v>180</v>
      </c>
    </row>
    <row r="2" spans="1:15" ht="15" x14ac:dyDescent="0.25">
      <c r="D2" s="27"/>
      <c r="E2" s="129" t="s">
        <v>181</v>
      </c>
      <c r="F2" s="129"/>
      <c r="G2" s="371" t="s">
        <v>143</v>
      </c>
      <c r="H2" s="372" t="s">
        <v>145</v>
      </c>
      <c r="I2" s="29"/>
      <c r="J2" s="27"/>
      <c r="K2" s="234" t="s">
        <v>188</v>
      </c>
      <c r="L2" s="29"/>
    </row>
    <row r="3" spans="1:15" ht="15" x14ac:dyDescent="0.25">
      <c r="D3" s="30"/>
      <c r="E3" s="33"/>
      <c r="F3" s="137" t="s">
        <v>3</v>
      </c>
      <c r="G3" s="137" t="s">
        <v>177</v>
      </c>
      <c r="H3" s="32" t="s">
        <v>178</v>
      </c>
      <c r="I3" s="247" t="s">
        <v>179</v>
      </c>
      <c r="J3" s="30" t="s">
        <v>187</v>
      </c>
      <c r="K3" s="33"/>
      <c r="L3" s="417">
        <f>B15</f>
        <v>0.02</v>
      </c>
      <c r="N3" s="15"/>
      <c r="O3" s="33"/>
    </row>
    <row r="4" spans="1:15" ht="15" x14ac:dyDescent="0.25">
      <c r="D4" s="30" t="s">
        <v>16</v>
      </c>
      <c r="E4" s="33"/>
      <c r="F4" s="44">
        <f>'חישוב עד 31.7.2012'!G6</f>
        <v>22.332999999999998</v>
      </c>
      <c r="G4" s="33" t="s">
        <v>148</v>
      </c>
      <c r="H4" s="362">
        <f>'חישוב עד 31.7.2012'!D29</f>
        <v>39617</v>
      </c>
      <c r="I4" s="144">
        <f>'חישוב עד 31.7.2012'!E29</f>
        <v>0.3664</v>
      </c>
      <c r="J4" s="415" t="s">
        <v>184</v>
      </c>
      <c r="K4" s="416"/>
      <c r="L4" s="418">
        <f>'חישוב עד 31.7.2012'!M19</f>
        <v>15924.119999999999</v>
      </c>
      <c r="N4" s="61"/>
      <c r="O4" s="33"/>
    </row>
    <row r="5" spans="1:15" ht="15" thickBot="1" x14ac:dyDescent="0.25">
      <c r="D5" s="35" t="s">
        <v>147</v>
      </c>
      <c r="E5" s="36"/>
      <c r="F5" s="364">
        <f>'חישוב עד 31.7.2012'!G10</f>
        <v>20.334000000000003</v>
      </c>
      <c r="G5" s="365" t="s">
        <v>146</v>
      </c>
      <c r="H5" s="366">
        <f>'חישוב עד 31.7.2012'!I19</f>
        <v>12126.54412470024</v>
      </c>
      <c r="I5" s="367">
        <f>'חישוב עד 31.7.2012'!E30</f>
        <v>0.33360000000000001</v>
      </c>
      <c r="J5" s="30" t="s">
        <v>186</v>
      </c>
      <c r="K5" s="33"/>
      <c r="L5" s="419">
        <f>'חישוב עד 31.3.2014 '!F9</f>
        <v>24</v>
      </c>
      <c r="M5" s="25"/>
      <c r="N5" s="362"/>
      <c r="O5" s="33"/>
    </row>
    <row r="6" spans="1:15" ht="15.75" thickBot="1" x14ac:dyDescent="0.3">
      <c r="D6" s="39" t="s">
        <v>144</v>
      </c>
      <c r="E6" s="101"/>
      <c r="F6" s="436">
        <f>SUM(F4:F5)</f>
        <v>42.667000000000002</v>
      </c>
      <c r="G6" s="437" t="s">
        <v>201</v>
      </c>
      <c r="H6" s="104"/>
      <c r="I6" s="363">
        <f>SUM(I4:I5)</f>
        <v>0.7</v>
      </c>
      <c r="J6" s="439" t="s">
        <v>200</v>
      </c>
      <c r="K6" s="33"/>
      <c r="L6" s="440">
        <f>'חישוב עד 31.3.2014 '!F13</f>
        <v>44.334000000000003</v>
      </c>
      <c r="N6" s="362"/>
      <c r="O6" s="33"/>
    </row>
    <row r="7" spans="1:15" ht="15.75" thickBot="1" x14ac:dyDescent="0.3">
      <c r="G7" s="262" t="s">
        <v>149</v>
      </c>
      <c r="H7" s="36"/>
      <c r="I7" s="370">
        <f>'חישוב עד 31.7.2012'!G31</f>
        <v>18561.083920000001</v>
      </c>
      <c r="J7" s="35"/>
      <c r="K7" s="36"/>
      <c r="L7" s="318"/>
      <c r="M7" s="25"/>
      <c r="N7" s="33"/>
      <c r="O7" s="33"/>
    </row>
    <row r="8" spans="1:15" ht="8.25" customHeight="1" x14ac:dyDescent="0.25">
      <c r="H8" s="61"/>
      <c r="I8" s="33"/>
      <c r="J8" s="361"/>
      <c r="L8" s="33"/>
      <c r="N8" s="33"/>
      <c r="O8" s="33"/>
    </row>
    <row r="9" spans="1:15" ht="18" x14ac:dyDescent="0.25">
      <c r="H9" s="360" t="s">
        <v>204</v>
      </c>
    </row>
    <row r="10" spans="1:15" x14ac:dyDescent="0.2">
      <c r="H10" s="316" t="s">
        <v>205</v>
      </c>
    </row>
    <row r="11" spans="1:15" ht="13.5" customHeight="1" x14ac:dyDescent="0.25">
      <c r="A11" s="323"/>
      <c r="B11" s="42"/>
      <c r="E11" s="18"/>
    </row>
    <row r="12" spans="1:15" s="18" customFormat="1" ht="15" x14ac:dyDescent="0.25">
      <c r="B12" s="323"/>
      <c r="C12" s="42"/>
      <c r="D12" s="341">
        <v>1</v>
      </c>
      <c r="E12" s="18" t="s">
        <v>207</v>
      </c>
      <c r="H12" s="441">
        <f>'חישוב עד 31.3.2014 '!F13</f>
        <v>44.334000000000003</v>
      </c>
      <c r="I12" s="379" t="s">
        <v>206</v>
      </c>
    </row>
    <row r="13" spans="1:15" ht="15" x14ac:dyDescent="0.25">
      <c r="I13" s="16" t="s">
        <v>154</v>
      </c>
      <c r="J13" s="15"/>
      <c r="K13" s="152" t="s">
        <v>155</v>
      </c>
      <c r="O13" s="25" t="s">
        <v>0</v>
      </c>
    </row>
    <row r="14" spans="1:15" ht="15" x14ac:dyDescent="0.25">
      <c r="I14" s="11" t="s">
        <v>61</v>
      </c>
      <c r="J14" s="319" t="s">
        <v>61</v>
      </c>
      <c r="K14" s="340" t="s">
        <v>150</v>
      </c>
      <c r="L14" s="59" t="s">
        <v>118</v>
      </c>
      <c r="O14" s="25"/>
    </row>
    <row r="15" spans="1:15" ht="15.75" x14ac:dyDescent="0.25">
      <c r="A15" s="327" t="s">
        <v>152</v>
      </c>
      <c r="B15" s="324">
        <f>'חישוב עד 31.7.2012'!$F$19</f>
        <v>0.02</v>
      </c>
      <c r="C15" s="342" t="s">
        <v>71</v>
      </c>
      <c r="D15" s="106" t="s">
        <v>157</v>
      </c>
      <c r="E15" s="106"/>
      <c r="F15" s="106"/>
      <c r="J15" s="369" t="s">
        <v>183</v>
      </c>
      <c r="K15" s="15"/>
      <c r="L15" s="2">
        <f>'חישוב עד 31.7.2012'!F18</f>
        <v>6.833333333333333</v>
      </c>
    </row>
    <row r="16" spans="1:15" ht="15" x14ac:dyDescent="0.25">
      <c r="A16">
        <v>1</v>
      </c>
      <c r="B16" s="329">
        <f>B15</f>
        <v>0.02</v>
      </c>
      <c r="C16" s="330" t="s">
        <v>156</v>
      </c>
      <c r="D16" s="331">
        <f>'חישוב עד 31.3.2014 '!$F$9</f>
        <v>24</v>
      </c>
      <c r="E16" s="374" t="s">
        <v>182</v>
      </c>
      <c r="G16" s="375">
        <f>$H$12-D16</f>
        <v>20.334000000000003</v>
      </c>
      <c r="H16" s="377" t="str">
        <f>'חישוב עד 31.3.2014 '!$F$85</f>
        <v>בדרגה 46+</v>
      </c>
      <c r="I16" s="4">
        <f>'חישוב עד 31.3.2014 '!F91</f>
        <v>25492.181121600002</v>
      </c>
      <c r="J16" s="4">
        <f>I16-$I$7</f>
        <v>6931.0972016000014</v>
      </c>
      <c r="K16" s="20">
        <f>J16*12</f>
        <v>83173.166419200017</v>
      </c>
      <c r="L16" s="4">
        <f>K16*'חישוב עד 31.7.2012'!$F$18</f>
        <v>568349.97053120006</v>
      </c>
      <c r="O16" s="314"/>
    </row>
    <row r="17" spans="1:16" ht="15" x14ac:dyDescent="0.25">
      <c r="A17">
        <v>2</v>
      </c>
      <c r="B17" s="329">
        <f>B15</f>
        <v>0.02</v>
      </c>
      <c r="C17" s="330" t="s">
        <v>156</v>
      </c>
      <c r="D17" s="331">
        <f>'חישוב עד 31.3.2014 '!$F$9</f>
        <v>24</v>
      </c>
      <c r="E17" s="374" t="s">
        <v>182</v>
      </c>
      <c r="G17" s="375">
        <f>$H$12-D17</f>
        <v>20.334000000000003</v>
      </c>
      <c r="H17" s="377" t="s">
        <v>129</v>
      </c>
      <c r="I17" s="4">
        <f>'חישוב עד 31.3.2014 '!F79</f>
        <v>23947.782964633094</v>
      </c>
      <c r="J17" s="4">
        <f>I17-$I$7</f>
        <v>5386.6990446330929</v>
      </c>
      <c r="K17" s="20">
        <f>J17*12</f>
        <v>64640.388535597114</v>
      </c>
      <c r="L17" s="4">
        <f>K17*'חישוב עד 31.7.2012'!$F$18</f>
        <v>441709.32165991358</v>
      </c>
    </row>
    <row r="18" spans="1:16" ht="11.25" customHeight="1" x14ac:dyDescent="0.25">
      <c r="A18" s="25"/>
      <c r="B18" s="326"/>
      <c r="C18" s="309"/>
      <c r="D18" s="325"/>
      <c r="E18" s="15"/>
      <c r="F18" s="326"/>
      <c r="G18" s="321"/>
      <c r="H18" s="378"/>
      <c r="I18" s="4"/>
      <c r="J18" s="4"/>
      <c r="K18" s="20"/>
      <c r="L18" s="4"/>
    </row>
    <row r="19" spans="1:16" ht="14.25" customHeight="1" x14ac:dyDescent="0.25">
      <c r="A19" s="320" t="s">
        <v>153</v>
      </c>
      <c r="B19" s="328">
        <v>0.02</v>
      </c>
      <c r="C19" s="342" t="s">
        <v>71</v>
      </c>
      <c r="D19" s="106" t="s">
        <v>158</v>
      </c>
      <c r="E19" s="106"/>
      <c r="F19" s="106"/>
      <c r="G19" s="18" t="s">
        <v>166</v>
      </c>
      <c r="H19" s="379"/>
      <c r="K19" s="15"/>
    </row>
    <row r="20" spans="1:16" ht="15" x14ac:dyDescent="0.25">
      <c r="A20">
        <v>1</v>
      </c>
      <c r="B20" s="322">
        <f>B16</f>
        <v>0.02</v>
      </c>
      <c r="C20" s="309" t="s">
        <v>156</v>
      </c>
      <c r="D20" s="331">
        <f>'חישוב עד 31.3.2014 '!$F$9</f>
        <v>24</v>
      </c>
      <c r="E20" s="374" t="s">
        <v>182</v>
      </c>
      <c r="G20" s="375">
        <f>35-D20</f>
        <v>11</v>
      </c>
      <c r="H20" s="380" t="str">
        <f>H16</f>
        <v>בדרגה 46+</v>
      </c>
      <c r="I20" s="4">
        <f>'חישוב עד 31.3.2014 '!F64</f>
        <v>22519.466400000001</v>
      </c>
      <c r="J20" s="4">
        <f>I20-$I$7</f>
        <v>3958.3824800000002</v>
      </c>
      <c r="K20" s="20">
        <f>J20*12</f>
        <v>47500.589760000003</v>
      </c>
      <c r="L20" s="4">
        <f>K20*'חישוב עד 31.7.2012'!$F$18</f>
        <v>324587.36336000002</v>
      </c>
      <c r="M20" s="434" t="s">
        <v>203</v>
      </c>
    </row>
    <row r="21" spans="1:16" ht="15.75" customHeight="1" x14ac:dyDescent="0.25">
      <c r="A21">
        <v>2</v>
      </c>
      <c r="B21" s="322">
        <f>B17</f>
        <v>0.02</v>
      </c>
      <c r="C21" s="309" t="s">
        <v>156</v>
      </c>
      <c r="D21" s="331">
        <f>'חישוב עד 31.3.2014 '!$F$9</f>
        <v>24</v>
      </c>
      <c r="E21" s="374" t="s">
        <v>182</v>
      </c>
      <c r="G21" s="375">
        <f>35-D21</f>
        <v>11</v>
      </c>
      <c r="H21" s="380" t="str">
        <f>H17</f>
        <v>בדרגה 44+</v>
      </c>
      <c r="I21" s="4">
        <f>'חישוב עד 31.3.2014 '!F53</f>
        <v>21683.999707434054</v>
      </c>
      <c r="J21" s="4">
        <f>I21-$I$7</f>
        <v>3122.9157874340526</v>
      </c>
      <c r="K21" s="20">
        <f>J21*12</f>
        <v>37474.989449208631</v>
      </c>
      <c r="L21" s="4">
        <f>K21*'חישוב עד 31.7.2012'!$F$18</f>
        <v>256079.0945695923</v>
      </c>
      <c r="M21" s="438" t="s">
        <v>202</v>
      </c>
    </row>
    <row r="22" spans="1:16" ht="15.75" customHeight="1" x14ac:dyDescent="0.25">
      <c r="B22" s="322"/>
      <c r="C22" s="309"/>
      <c r="D22" s="331"/>
      <c r="E22" s="316"/>
      <c r="F22" s="332"/>
      <c r="G22" s="12"/>
      <c r="H22" s="380"/>
      <c r="I22" s="4"/>
      <c r="J22" s="4"/>
      <c r="K22" s="20"/>
      <c r="L22" s="4"/>
      <c r="M22" t="s">
        <v>194</v>
      </c>
      <c r="N22" s="4">
        <f>H4*24</f>
        <v>950808</v>
      </c>
    </row>
    <row r="23" spans="1:16" ht="15" x14ac:dyDescent="0.25">
      <c r="A23" s="398" t="s">
        <v>159</v>
      </c>
      <c r="B23" s="399" t="s">
        <v>167</v>
      </c>
      <c r="C23" s="56"/>
      <c r="D23" s="56"/>
      <c r="E23" s="56"/>
      <c r="F23" s="56"/>
      <c r="G23" s="56"/>
      <c r="H23" s="77"/>
      <c r="I23" s="56"/>
      <c r="J23" s="56"/>
      <c r="K23" s="225"/>
      <c r="L23" s="92"/>
      <c r="M23" s="316" t="s">
        <v>195</v>
      </c>
      <c r="N23" s="431">
        <f>L4*11</f>
        <v>175165.31999999998</v>
      </c>
      <c r="P23" s="4"/>
    </row>
    <row r="24" spans="1:16" ht="15.75" customHeight="1" x14ac:dyDescent="0.25">
      <c r="A24" s="48">
        <v>1</v>
      </c>
      <c r="B24" s="385">
        <f>B21</f>
        <v>0.02</v>
      </c>
      <c r="C24" s="386" t="s">
        <v>156</v>
      </c>
      <c r="D24" s="387">
        <f>'חישוב עד 31.3.2014 '!$G$37</f>
        <v>18.947083502503716</v>
      </c>
      <c r="E24" s="388" t="s">
        <v>182</v>
      </c>
      <c r="F24" s="33"/>
      <c r="G24" s="382">
        <f>35-D24</f>
        <v>16.052916497496284</v>
      </c>
      <c r="H24" s="389" t="str">
        <f>H20</f>
        <v>בדרגה 46+</v>
      </c>
      <c r="I24" s="362">
        <f>'חישוב עד 31.3.2014 '!F39</f>
        <v>20125.103515496005</v>
      </c>
      <c r="J24" s="362">
        <f>I24-$I$7</f>
        <v>1564.0195954960036</v>
      </c>
      <c r="K24" s="62">
        <f>J24*12</f>
        <v>18768.235145952043</v>
      </c>
      <c r="L24" s="400">
        <f>K24*'חישוב עד 31.7.2012'!$F$18</f>
        <v>128249.60683067229</v>
      </c>
      <c r="M24" t="s">
        <v>196</v>
      </c>
      <c r="N24" s="4">
        <f>SUM(N22:N23)</f>
        <v>1125973.32</v>
      </c>
      <c r="O24" s="321"/>
      <c r="P24" s="4"/>
    </row>
    <row r="25" spans="1:16" ht="15" x14ac:dyDescent="0.25">
      <c r="A25" s="48">
        <v>2</v>
      </c>
      <c r="B25" s="385">
        <f>B16</f>
        <v>0.02</v>
      </c>
      <c r="C25" s="386" t="s">
        <v>156</v>
      </c>
      <c r="D25" s="387">
        <f>'חישוב עד 31.3.2014 '!$G$37</f>
        <v>18.947083502503716</v>
      </c>
      <c r="E25" s="388" t="s">
        <v>182</v>
      </c>
      <c r="F25" s="33"/>
      <c r="G25" s="382">
        <f>35-D25</f>
        <v>16.052916497496284</v>
      </c>
      <c r="H25" s="389" t="str">
        <f>H21</f>
        <v>בדרגה 44+</v>
      </c>
      <c r="I25" s="362">
        <f>'חישוב עד 31.3.2014 '!F30</f>
        <v>18905.860147114137</v>
      </c>
      <c r="J25" s="362">
        <f>I25-$I$7</f>
        <v>344.77622711413642</v>
      </c>
      <c r="K25" s="62">
        <f>J25*12</f>
        <v>4137.314725369637</v>
      </c>
      <c r="L25" s="400">
        <f>K25*'חישוב עד 31.7.2012'!$F$18</f>
        <v>28271.650623359186</v>
      </c>
      <c r="M25" s="15" t="s">
        <v>193</v>
      </c>
      <c r="N25" s="20">
        <f>N24/35</f>
        <v>32170.666285714287</v>
      </c>
      <c r="O25" s="25"/>
    </row>
    <row r="26" spans="1:16" ht="15" x14ac:dyDescent="0.25">
      <c r="A26" s="401" t="s">
        <v>169</v>
      </c>
      <c r="B26" s="33"/>
      <c r="C26" s="33"/>
      <c r="D26" s="33" t="s">
        <v>0</v>
      </c>
      <c r="E26" s="424" t="s">
        <v>0</v>
      </c>
      <c r="F26" s="390" t="s">
        <v>0</v>
      </c>
      <c r="G26" s="33" t="s">
        <v>0</v>
      </c>
      <c r="H26" s="425"/>
      <c r="I26" s="33"/>
      <c r="J26" s="33"/>
      <c r="K26" s="33"/>
      <c r="L26" s="242"/>
      <c r="M26" s="369" t="s">
        <v>197</v>
      </c>
      <c r="N26" s="4">
        <f>I24</f>
        <v>20125.103515496005</v>
      </c>
      <c r="O26" s="25"/>
      <c r="P26" s="4"/>
    </row>
    <row r="27" spans="1:16" ht="15" x14ac:dyDescent="0.25">
      <c r="A27" s="402">
        <f>$N$28</f>
        <v>1.7873517212198247E-2</v>
      </c>
      <c r="B27" s="403"/>
      <c r="C27" s="386" t="s">
        <v>156</v>
      </c>
      <c r="D27" s="44">
        <f>L5</f>
        <v>24</v>
      </c>
      <c r="E27" s="388" t="s">
        <v>182</v>
      </c>
      <c r="F27" s="33"/>
      <c r="G27" s="375">
        <v>11</v>
      </c>
      <c r="H27" s="394" t="str">
        <f>H24</f>
        <v>בדרגה 46+</v>
      </c>
      <c r="I27" s="362">
        <f>(D27*A27*H4)+(G27*A27*L4)</f>
        <v>20125.103515496005</v>
      </c>
      <c r="J27" s="362">
        <f>I27-$I$7</f>
        <v>1564.0195954960036</v>
      </c>
      <c r="K27" s="62">
        <f>J27*12</f>
        <v>18768.235145952043</v>
      </c>
      <c r="L27" s="400">
        <f>K27*'חישוב עד 31.7.2012'!$F$18</f>
        <v>128249.60683067229</v>
      </c>
      <c r="M27" t="s">
        <v>198</v>
      </c>
      <c r="N27" s="315">
        <f>N26/N25</f>
        <v>0.62557310242693864</v>
      </c>
      <c r="O27" s="25"/>
      <c r="P27" s="420"/>
    </row>
    <row r="28" spans="1:16" ht="15" x14ac:dyDescent="0.25">
      <c r="A28" s="402">
        <v>1.7873516999999998E-2</v>
      </c>
      <c r="B28" s="403"/>
      <c r="C28" s="404" t="s">
        <v>156</v>
      </c>
      <c r="D28" s="405">
        <f>D27</f>
        <v>24</v>
      </c>
      <c r="E28" s="406" t="s">
        <v>182</v>
      </c>
      <c r="F28" s="58"/>
      <c r="G28" s="433">
        <v>11</v>
      </c>
      <c r="H28" s="407" t="str">
        <f>H25</f>
        <v>בדרגה 44+</v>
      </c>
      <c r="I28" s="408">
        <f>I25</f>
        <v>18905.860147114137</v>
      </c>
      <c r="J28" s="408">
        <f>I28-$I$7</f>
        <v>344.77622711413642</v>
      </c>
      <c r="K28" s="409">
        <f>J28*12</f>
        <v>4137.314725369637</v>
      </c>
      <c r="L28" s="410">
        <f>K28*'חישוב עד 31.7.2012'!$F$18</f>
        <v>28271.650623359186</v>
      </c>
      <c r="M28" s="432" t="s">
        <v>199</v>
      </c>
      <c r="N28" s="435">
        <f>N27/35</f>
        <v>1.7873517212198247E-2</v>
      </c>
      <c r="O28" s="25"/>
      <c r="P28" s="4"/>
    </row>
    <row r="29" spans="1:16" x14ac:dyDescent="0.2">
      <c r="H29" s="423" t="s">
        <v>0</v>
      </c>
      <c r="I29" s="4" t="s">
        <v>0</v>
      </c>
      <c r="N29" s="4"/>
      <c r="P29" s="4"/>
    </row>
    <row r="30" spans="1:16" ht="6.75" customHeight="1" x14ac:dyDescent="0.2">
      <c r="H30" s="369"/>
      <c r="P30" s="4"/>
    </row>
    <row r="31" spans="1:16" s="18" customFormat="1" ht="15" x14ac:dyDescent="0.25">
      <c r="E31" s="341">
        <v>2</v>
      </c>
      <c r="F31" s="18" t="s">
        <v>185</v>
      </c>
      <c r="G31" s="414">
        <f>F6</f>
        <v>42.667000000000002</v>
      </c>
      <c r="H31" s="18" t="s">
        <v>192</v>
      </c>
      <c r="P31" s="4"/>
    </row>
    <row r="32" spans="1:16" ht="15" x14ac:dyDescent="0.25">
      <c r="H32" s="381" t="s">
        <v>0</v>
      </c>
      <c r="I32" s="16" t="s">
        <v>154</v>
      </c>
      <c r="J32" s="15"/>
      <c r="K32" s="16" t="s">
        <v>155</v>
      </c>
      <c r="O32" s="25"/>
    </row>
    <row r="33" spans="1:16" ht="15" x14ac:dyDescent="0.25">
      <c r="H33" s="381"/>
      <c r="I33" s="11" t="s">
        <v>61</v>
      </c>
      <c r="J33" s="373" t="s">
        <v>61</v>
      </c>
      <c r="K33" s="50" t="s">
        <v>150</v>
      </c>
      <c r="L33" s="32" t="s">
        <v>151</v>
      </c>
      <c r="N33" s="33"/>
      <c r="O33" s="426"/>
      <c r="P33" s="427"/>
    </row>
    <row r="34" spans="1:16" ht="15.75" x14ac:dyDescent="0.25">
      <c r="A34" s="327" t="s">
        <v>152</v>
      </c>
      <c r="B34" s="324">
        <f>B15</f>
        <v>0.02</v>
      </c>
      <c r="C34" s="342" t="s">
        <v>71</v>
      </c>
      <c r="D34" s="106" t="s">
        <v>157</v>
      </c>
      <c r="E34" s="106"/>
      <c r="F34" s="106"/>
      <c r="H34" s="369"/>
      <c r="J34" s="33"/>
      <c r="K34" s="33"/>
      <c r="L34" s="33"/>
      <c r="M34" s="6"/>
      <c r="N34" s="392"/>
      <c r="O34" s="392"/>
      <c r="P34" s="424"/>
    </row>
    <row r="35" spans="1:16" ht="15" x14ac:dyDescent="0.25">
      <c r="A35">
        <v>1</v>
      </c>
      <c r="B35" s="322">
        <f>B16</f>
        <v>0.02</v>
      </c>
      <c r="C35" s="330" t="s">
        <v>156</v>
      </c>
      <c r="D35" s="331">
        <f>F4</f>
        <v>22.332999999999998</v>
      </c>
      <c r="E35" s="374" t="s">
        <v>182</v>
      </c>
      <c r="G35" s="376">
        <f>$F$5</f>
        <v>20.334000000000003</v>
      </c>
      <c r="H35" s="377" t="str">
        <f>'חישוב עד 31.3.2014 '!$F$85</f>
        <v>בדרגה 46+</v>
      </c>
      <c r="I35" s="4">
        <f>'חישוב עד 31.7.2012'!G89</f>
        <v>24171.350341600002</v>
      </c>
      <c r="J35" s="4">
        <f>I35-$I$7</f>
        <v>5610.2664216000012</v>
      </c>
      <c r="K35" s="20">
        <f>J35*12</f>
        <v>67323.197059200014</v>
      </c>
      <c r="L35" s="4">
        <f>K35*'חישוב עד 31.7.2012'!$F$18</f>
        <v>460041.84657120006</v>
      </c>
      <c r="M35" s="6"/>
      <c r="N35" s="424"/>
      <c r="O35" s="428"/>
      <c r="P35" s="424"/>
    </row>
    <row r="36" spans="1:16" ht="15" x14ac:dyDescent="0.25">
      <c r="A36">
        <v>2</v>
      </c>
      <c r="B36" s="322">
        <f>B21</f>
        <v>0.02</v>
      </c>
      <c r="C36" s="330" t="s">
        <v>156</v>
      </c>
      <c r="D36" s="331">
        <f>F4</f>
        <v>22.332999999999998</v>
      </c>
      <c r="E36" s="374" t="s">
        <v>182</v>
      </c>
      <c r="G36" s="376">
        <f>$F$5</f>
        <v>20.334000000000003</v>
      </c>
      <c r="H36" s="377" t="s">
        <v>129</v>
      </c>
      <c r="I36" s="4">
        <f>'חישוב עד 31.7.2012'!G79</f>
        <v>22626.952184633094</v>
      </c>
      <c r="J36" s="4">
        <f>I36-$I$7</f>
        <v>4065.8682646330926</v>
      </c>
      <c r="K36" s="20">
        <f>J36*12</f>
        <v>48790.419175597111</v>
      </c>
      <c r="L36" s="4">
        <f>K36*'חישוב עד 31.7.2012'!$F$18</f>
        <v>333401.19769991358</v>
      </c>
      <c r="M36" s="6"/>
      <c r="N36" s="368"/>
      <c r="O36" s="33"/>
      <c r="P36" s="424"/>
    </row>
    <row r="37" spans="1:16" ht="15" x14ac:dyDescent="0.25">
      <c r="A37" s="25"/>
      <c r="B37" s="326"/>
      <c r="C37" s="309"/>
      <c r="D37" s="325"/>
      <c r="E37" s="15"/>
      <c r="F37" s="326"/>
      <c r="G37" s="321"/>
      <c r="H37" s="378"/>
      <c r="I37" s="4"/>
      <c r="J37" s="20"/>
      <c r="K37" s="4"/>
      <c r="L37" s="4"/>
      <c r="N37" s="239"/>
      <c r="O37" s="33"/>
      <c r="P37" s="424"/>
    </row>
    <row r="38" spans="1:16" ht="15.75" x14ac:dyDescent="0.25">
      <c r="A38" s="320" t="s">
        <v>153</v>
      </c>
      <c r="B38" s="324">
        <f>B15</f>
        <v>0.02</v>
      </c>
      <c r="C38" s="342" t="s">
        <v>71</v>
      </c>
      <c r="D38" s="106" t="s">
        <v>158</v>
      </c>
      <c r="E38" s="106"/>
      <c r="F38" s="106"/>
      <c r="G38" s="18" t="s">
        <v>166</v>
      </c>
      <c r="H38" s="379"/>
      <c r="J38" s="15"/>
      <c r="L38" s="4"/>
      <c r="N38" s="239"/>
      <c r="O38" s="429"/>
      <c r="P38" s="424"/>
    </row>
    <row r="39" spans="1:16" ht="15" x14ac:dyDescent="0.25">
      <c r="A39">
        <v>1</v>
      </c>
      <c r="B39" s="322">
        <f>B16</f>
        <v>0.02</v>
      </c>
      <c r="C39" s="309" t="s">
        <v>156</v>
      </c>
      <c r="D39" s="331">
        <f>'חישוב עד 31.7.2012'!$G$6</f>
        <v>22.332999999999998</v>
      </c>
      <c r="E39" s="374" t="s">
        <v>182</v>
      </c>
      <c r="G39" s="375">
        <f>35-D39</f>
        <v>12.667000000000002</v>
      </c>
      <c r="H39" s="380" t="str">
        <f>H35</f>
        <v>בדרגה 46+</v>
      </c>
      <c r="I39" s="4">
        <f>'חישוב עד 31.7.2012'!G64</f>
        <v>21729.545780799999</v>
      </c>
      <c r="J39" s="4">
        <f>I39-$I$7</f>
        <v>3168.4618607999982</v>
      </c>
      <c r="K39" s="4">
        <f>J39*'חישוב עד 31.7.2012'!$F$18</f>
        <v>21651.156048799989</v>
      </c>
      <c r="L39" s="4">
        <f>K39*'חישוב עד 31.7.2012'!$F$18</f>
        <v>147949.56633346659</v>
      </c>
      <c r="N39" s="362"/>
      <c r="O39" s="33"/>
      <c r="P39" s="424"/>
    </row>
    <row r="40" spans="1:16" ht="15" x14ac:dyDescent="0.25">
      <c r="A40">
        <v>2</v>
      </c>
      <c r="B40" s="322">
        <f>B39</f>
        <v>0.02</v>
      </c>
      <c r="C40" s="309" t="s">
        <v>156</v>
      </c>
      <c r="D40" s="331">
        <f>'חישוב עד 31.7.2012'!$G$6</f>
        <v>22.332999999999998</v>
      </c>
      <c r="E40" s="374" t="s">
        <v>182</v>
      </c>
      <c r="G40" s="375">
        <f>35-$D$40</f>
        <v>12.667000000000002</v>
      </c>
      <c r="H40" s="380" t="str">
        <f>H36</f>
        <v>בדרגה 44+</v>
      </c>
      <c r="I40" s="4">
        <f>'חישוב עד 31.7.2012'!G52</f>
        <v>20767.467908551556</v>
      </c>
      <c r="J40" s="4">
        <f>I40-$I$7</f>
        <v>2206.3839885515554</v>
      </c>
      <c r="K40" s="4">
        <f>J40*'חישוב עד 31.7.2012'!$F$18</f>
        <v>15076.957255102294</v>
      </c>
      <c r="L40" s="4">
        <f>K40*'חישוב עד 31.7.2012'!$F$18</f>
        <v>103025.87457653234</v>
      </c>
      <c r="N40" s="33"/>
      <c r="O40" s="33"/>
      <c r="P40" s="424"/>
    </row>
    <row r="41" spans="1:16" ht="15.75" thickBot="1" x14ac:dyDescent="0.3">
      <c r="B41" s="322"/>
      <c r="C41" s="309"/>
      <c r="D41" s="331"/>
      <c r="E41" s="316"/>
      <c r="F41" s="332"/>
      <c r="G41" s="12"/>
      <c r="H41" s="380"/>
      <c r="I41" s="4"/>
      <c r="J41" s="20"/>
      <c r="K41" s="4"/>
      <c r="N41" s="33"/>
      <c r="O41" s="33"/>
      <c r="P41" s="33"/>
    </row>
    <row r="42" spans="1:16" ht="15" x14ac:dyDescent="0.25">
      <c r="A42" s="383" t="s">
        <v>159</v>
      </c>
      <c r="B42" s="384" t="s">
        <v>167</v>
      </c>
      <c r="C42" s="28"/>
      <c r="D42" s="28"/>
      <c r="E42" s="28"/>
      <c r="F42" s="28"/>
      <c r="G42" s="28"/>
      <c r="H42" s="234"/>
      <c r="I42" s="28"/>
      <c r="J42" s="54"/>
      <c r="K42" s="28"/>
      <c r="L42" s="29"/>
      <c r="N42" s="33"/>
      <c r="O42" s="430"/>
      <c r="P42" s="33"/>
    </row>
    <row r="43" spans="1:16" ht="15" x14ac:dyDescent="0.25">
      <c r="A43" s="30">
        <v>1</v>
      </c>
      <c r="B43" s="385">
        <f>'חישוב עד 31.7.2012'!$F$19</f>
        <v>0.02</v>
      </c>
      <c r="C43" s="386" t="s">
        <v>156</v>
      </c>
      <c r="D43" s="387">
        <f>$L$5*'חישוב עד 31.3.2014 '!$G$9</f>
        <v>12.992285830288264</v>
      </c>
      <c r="E43" s="388" t="s">
        <v>182</v>
      </c>
      <c r="F43" s="33"/>
      <c r="G43" s="382">
        <f>35-D43</f>
        <v>22.007714169711736</v>
      </c>
      <c r="H43" s="389" t="str">
        <f>H39</f>
        <v>בדרגה 46+</v>
      </c>
      <c r="I43" s="362">
        <f>'חישוב עד 31.7.2012'!G40</f>
        <v>19827.955232</v>
      </c>
      <c r="J43" s="362">
        <f>I43-$I$7</f>
        <v>1266.8713119999993</v>
      </c>
      <c r="K43" s="62">
        <f>J43*12</f>
        <v>15202.455743999992</v>
      </c>
      <c r="L43" s="317">
        <f>K43*'חישוב עד 31.7.2012'!$F$18</f>
        <v>103883.44758399994</v>
      </c>
      <c r="N43" s="33"/>
      <c r="O43" s="33"/>
      <c r="P43" s="33"/>
    </row>
    <row r="44" spans="1:16" ht="15" x14ac:dyDescent="0.25">
      <c r="A44" s="30">
        <v>2</v>
      </c>
      <c r="B44" s="385">
        <f>'חישוב עד 31.7.2012'!$F$19</f>
        <v>0.02</v>
      </c>
      <c r="C44" s="386" t="s">
        <v>156</v>
      </c>
      <c r="D44" s="387">
        <f>$L$5*'חישוב עד 31.3.2014 '!$G$9</f>
        <v>12.992285830288264</v>
      </c>
      <c r="E44" s="388" t="s">
        <v>182</v>
      </c>
      <c r="F44" s="33"/>
      <c r="G44" s="382">
        <f>35-D44</f>
        <v>22.007714169711736</v>
      </c>
      <c r="H44" s="389" t="str">
        <f>H40</f>
        <v>בדרגה 44+</v>
      </c>
      <c r="I44" s="362">
        <f>'חישוב עד 31.7.2012'!G31</f>
        <v>18561.083920000001</v>
      </c>
      <c r="J44" s="362">
        <f>I44-$I$7</f>
        <v>0</v>
      </c>
      <c r="K44" s="62">
        <f>J44*12</f>
        <v>0</v>
      </c>
      <c r="L44" s="317">
        <f>K44*'חישוב עד 31.7.2012'!$F$18</f>
        <v>0</v>
      </c>
      <c r="N44" s="33"/>
      <c r="O44" s="426"/>
      <c r="P44" s="33"/>
    </row>
    <row r="45" spans="1:16" ht="15" x14ac:dyDescent="0.25">
      <c r="A45" s="257" t="s">
        <v>169</v>
      </c>
      <c r="B45" s="33"/>
      <c r="C45" s="33"/>
      <c r="D45" s="33"/>
      <c r="E45" s="33"/>
      <c r="F45" s="390" t="s">
        <v>0</v>
      </c>
      <c r="G45" s="33"/>
      <c r="H45" s="142"/>
      <c r="I45" s="33"/>
      <c r="J45" s="33"/>
      <c r="K45" s="33"/>
      <c r="L45" s="247"/>
      <c r="N45" s="33"/>
      <c r="O45" s="33"/>
      <c r="P45" s="33"/>
    </row>
    <row r="46" spans="1:16" ht="15" x14ac:dyDescent="0.25">
      <c r="A46" s="391">
        <f>L3*'חישוב עד 31.7.2012'!I38</f>
        <v>1.64062150181346E-2</v>
      </c>
      <c r="B46" s="392"/>
      <c r="C46" s="386" t="s">
        <v>156</v>
      </c>
      <c r="D46" s="44">
        <f>D40</f>
        <v>22.332999999999998</v>
      </c>
      <c r="E46" s="388" t="s">
        <v>182</v>
      </c>
      <c r="F46" s="33"/>
      <c r="G46" s="393">
        <f>35-D46</f>
        <v>12.667000000000002</v>
      </c>
      <c r="H46" s="394" t="str">
        <f>H43</f>
        <v>בדרגה 46+</v>
      </c>
      <c r="I46" s="362">
        <f>(D46*A46*H4)+(($F$5)*(A46*L4))</f>
        <v>19828.018549147542</v>
      </c>
      <c r="J46" s="362">
        <f>I46-$I$7</f>
        <v>1266.9346291475413</v>
      </c>
      <c r="K46" s="62">
        <f>J46*12</f>
        <v>15203.215549770495</v>
      </c>
      <c r="L46" s="317">
        <f>K46*'חישוב עד 31.7.2012'!$F$18</f>
        <v>103888.63959009838</v>
      </c>
      <c r="N46" s="33"/>
      <c r="O46" s="33"/>
      <c r="P46" s="33"/>
    </row>
    <row r="47" spans="1:16" ht="15" x14ac:dyDescent="0.25">
      <c r="A47" s="391">
        <f>'חישוב עד 31.7.2012'!$I$26</f>
        <v>1.6409572874999195E-2</v>
      </c>
      <c r="B47" s="392"/>
      <c r="C47" s="386" t="s">
        <v>156</v>
      </c>
      <c r="D47" s="44">
        <f>D46</f>
        <v>22.332999999999998</v>
      </c>
      <c r="E47" s="388" t="s">
        <v>182</v>
      </c>
      <c r="F47" s="33"/>
      <c r="G47" s="393">
        <f>35-D47</f>
        <v>12.667000000000002</v>
      </c>
      <c r="H47" s="394" t="str">
        <f>H44</f>
        <v>בדרגה 44+</v>
      </c>
      <c r="I47" s="362">
        <f>(D47*A47*H4)+(($F$5)*(A47*H5))-3.85</f>
        <v>18561.081040642948</v>
      </c>
      <c r="J47" s="395">
        <f>I47-$I$7</f>
        <v>-2.8793570527341217E-3</v>
      </c>
      <c r="K47" s="396">
        <f>J47*12</f>
        <v>-3.455228463280946E-2</v>
      </c>
      <c r="L47" s="397">
        <f>K47*'חישוב עד 31.7.2012'!$F$18</f>
        <v>-0.23610727832419798</v>
      </c>
      <c r="M47" s="4"/>
      <c r="N47" s="362"/>
      <c r="O47" s="33"/>
      <c r="P47" s="33"/>
    </row>
    <row r="48" spans="1:16" x14ac:dyDescent="0.2">
      <c r="A48" s="30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247"/>
      <c r="N48" s="33"/>
      <c r="O48" s="426"/>
      <c r="P48" s="33"/>
    </row>
    <row r="49" spans="1:16" x14ac:dyDescent="0.2">
      <c r="A49" s="30"/>
      <c r="B49" s="33"/>
      <c r="C49" s="33"/>
      <c r="D49" s="33"/>
      <c r="E49" s="33"/>
      <c r="F49" s="33"/>
      <c r="G49" s="33"/>
      <c r="H49" s="33"/>
      <c r="I49" s="362"/>
      <c r="J49" s="362"/>
      <c r="K49" s="33"/>
      <c r="L49" s="247"/>
      <c r="N49" s="362"/>
      <c r="O49" s="33"/>
      <c r="P49" s="33"/>
    </row>
    <row r="50" spans="1:16" ht="15" thickBot="1" x14ac:dyDescent="0.25">
      <c r="A50" s="35"/>
      <c r="B50" s="36"/>
      <c r="C50" s="36"/>
      <c r="D50" s="36"/>
      <c r="E50" s="36"/>
      <c r="F50" s="36"/>
      <c r="G50" s="36"/>
      <c r="H50" s="36"/>
      <c r="I50" s="366"/>
      <c r="J50" s="413"/>
      <c r="K50" s="36"/>
      <c r="L50" s="68"/>
      <c r="N50" s="33"/>
      <c r="O50" s="33"/>
      <c r="P50" s="33"/>
    </row>
    <row r="51" spans="1:16" x14ac:dyDescent="0.2">
      <c r="I51" s="4"/>
      <c r="J51" s="4"/>
      <c r="N51" s="33"/>
      <c r="O51" s="33"/>
      <c r="P51" s="33"/>
    </row>
    <row r="52" spans="1:16" x14ac:dyDescent="0.2">
      <c r="N52" s="33"/>
      <c r="O52" s="33"/>
      <c r="P52" s="33"/>
    </row>
    <row r="53" spans="1:16" x14ac:dyDescent="0.2">
      <c r="N53" s="33"/>
      <c r="O53" s="33"/>
      <c r="P53" s="33"/>
    </row>
    <row r="54" spans="1:16" x14ac:dyDescent="0.2">
      <c r="N54" s="33"/>
      <c r="O54" s="33"/>
      <c r="P54" s="33"/>
    </row>
  </sheetData>
  <mergeCells count="5">
    <mergeCell ref="A46:B46"/>
    <mergeCell ref="A47:B47"/>
    <mergeCell ref="A27:B27"/>
    <mergeCell ref="A28:B28"/>
    <mergeCell ref="N34:O3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3"/>
  <sheetViews>
    <sheetView rightToLeft="1" topLeftCell="C19" workbookViewId="0">
      <selection activeCell="F22" sqref="F22:I25"/>
    </sheetView>
  </sheetViews>
  <sheetFormatPr defaultRowHeight="14.25" x14ac:dyDescent="0.2"/>
  <cols>
    <col min="2" max="3" width="9.875" customWidth="1"/>
    <col min="4" max="4" width="9.875" bestFit="1" customWidth="1"/>
    <col min="5" max="5" width="10.875" customWidth="1"/>
    <col min="6" max="6" width="11.125" customWidth="1"/>
    <col min="7" max="7" width="12" customWidth="1"/>
    <col min="8" max="8" width="11.25" customWidth="1"/>
    <col min="9" max="9" width="12.25" customWidth="1"/>
    <col min="10" max="10" width="8.875" customWidth="1"/>
    <col min="11" max="11" width="11" customWidth="1"/>
    <col min="12" max="12" width="8.25" customWidth="1"/>
    <col min="13" max="13" width="10" customWidth="1"/>
    <col min="14" max="14" width="9.75" customWidth="1"/>
    <col min="15" max="15" width="10.5" customWidth="1"/>
  </cols>
  <sheetData>
    <row r="1" spans="3:25" ht="18" x14ac:dyDescent="0.25">
      <c r="E1" s="33"/>
      <c r="G1" s="195" t="s">
        <v>0</v>
      </c>
      <c r="J1" s="211" t="s">
        <v>82</v>
      </c>
      <c r="M1" s="16"/>
      <c r="N1" s="16"/>
      <c r="O1" s="16"/>
      <c r="P1" s="16"/>
      <c r="Q1" s="16"/>
    </row>
    <row r="2" spans="3:25" ht="15" x14ac:dyDescent="0.25">
      <c r="D2">
        <f>I6/H6*2</f>
        <v>1.4</v>
      </c>
      <c r="G2" s="195" t="e">
        <f>DATEDIF(E6,F6,"Y")&amp; " שנים, " &amp;DATEDIF(E6,F6,"YM")&amp; " חודשים, " &amp;DATEDIF(E6,F6,"MD")&amp; " ימים, "</f>
        <v>#VALUE!</v>
      </c>
      <c r="J2" s="42"/>
      <c r="L2" t="s">
        <v>67</v>
      </c>
      <c r="Q2" s="18" t="s">
        <v>70</v>
      </c>
    </row>
    <row r="3" spans="3:25" ht="15.75" thickBot="1" x14ac:dyDescent="0.3">
      <c r="H3" s="15" t="s">
        <v>63</v>
      </c>
      <c r="J3" s="50"/>
      <c r="N3" s="15" t="s">
        <v>62</v>
      </c>
      <c r="Q3" t="s">
        <v>68</v>
      </c>
    </row>
    <row r="4" spans="3:25" ht="16.5" thickBot="1" x14ac:dyDescent="0.3">
      <c r="C4" s="27"/>
      <c r="D4" s="28"/>
      <c r="E4" s="31" t="s">
        <v>29</v>
      </c>
      <c r="F4" s="28"/>
      <c r="G4" s="29"/>
      <c r="H4" s="133" t="s">
        <v>20</v>
      </c>
      <c r="I4" s="104" t="s">
        <v>56</v>
      </c>
      <c r="K4" s="27"/>
      <c r="L4" s="28"/>
      <c r="M4" s="29"/>
      <c r="N4" s="133" t="s">
        <v>20</v>
      </c>
      <c r="O4" s="180" t="s">
        <v>56</v>
      </c>
      <c r="Q4" t="s">
        <v>69</v>
      </c>
    </row>
    <row r="5" spans="3:25" ht="15.75" thickBot="1" x14ac:dyDescent="0.3">
      <c r="C5" s="30"/>
      <c r="D5" s="50" t="s">
        <v>28</v>
      </c>
      <c r="E5" s="16" t="s">
        <v>65</v>
      </c>
      <c r="F5" s="50" t="s">
        <v>66</v>
      </c>
      <c r="G5" s="183" t="s">
        <v>64</v>
      </c>
      <c r="H5" s="164" t="s">
        <v>21</v>
      </c>
      <c r="I5" s="163">
        <v>0.7</v>
      </c>
      <c r="K5" s="30"/>
      <c r="L5" s="210" t="s">
        <v>28</v>
      </c>
      <c r="M5" s="183" t="s">
        <v>64</v>
      </c>
      <c r="N5" s="164" t="s">
        <v>21</v>
      </c>
      <c r="O5" s="169">
        <v>0.7</v>
      </c>
      <c r="Q5" s="194" t="s">
        <v>9</v>
      </c>
      <c r="R5" s="194" t="s">
        <v>10</v>
      </c>
      <c r="V5" s="17"/>
      <c r="W5" s="133" t="s">
        <v>20</v>
      </c>
      <c r="X5" s="163">
        <v>0.7</v>
      </c>
    </row>
    <row r="6" spans="3:25" ht="15.75" thickBot="1" x14ac:dyDescent="0.3">
      <c r="C6" s="191" t="s">
        <v>11</v>
      </c>
      <c r="D6" s="72">
        <f>G6*12</f>
        <v>267.99599999999998</v>
      </c>
      <c r="E6" s="271">
        <v>32964</v>
      </c>
      <c r="F6" s="271" t="s">
        <v>55</v>
      </c>
      <c r="G6" s="356">
        <v>22.332999999999998</v>
      </c>
      <c r="H6" s="158">
        <f>G6/G11</f>
        <v>0.52342559823751367</v>
      </c>
      <c r="I6" s="143">
        <f>H6*$I$5</f>
        <v>0.36639791876625954</v>
      </c>
      <c r="J6" s="344" t="s">
        <v>0</v>
      </c>
      <c r="K6" s="64" t="s">
        <v>11</v>
      </c>
      <c r="L6" s="72">
        <f>M6*12</f>
        <v>267.99599999999998</v>
      </c>
      <c r="M6" s="198">
        <v>22.332999999999998</v>
      </c>
      <c r="N6" s="170">
        <f>M6/M11</f>
        <v>0.53173809523809523</v>
      </c>
      <c r="O6" s="171">
        <f>N6*$I$5</f>
        <v>0.37221666666666664</v>
      </c>
      <c r="Q6" s="6">
        <f>O6-I6</f>
        <v>5.8187479004070952E-3</v>
      </c>
      <c r="R6" s="4">
        <f>D29*Q6</f>
        <v>230.52133557042788</v>
      </c>
      <c r="U6" s="19"/>
      <c r="V6" s="13"/>
      <c r="W6" s="164" t="s">
        <v>21</v>
      </c>
      <c r="X6" s="68" t="s">
        <v>56</v>
      </c>
    </row>
    <row r="7" spans="3:25" ht="4.5" customHeight="1" x14ac:dyDescent="0.25">
      <c r="C7" s="65"/>
      <c r="D7" s="73"/>
      <c r="E7" s="77"/>
      <c r="F7" s="77"/>
      <c r="G7" s="184"/>
      <c r="H7" s="47"/>
      <c r="I7" s="69" t="s">
        <v>0</v>
      </c>
      <c r="K7" s="65"/>
      <c r="L7" s="73"/>
      <c r="M7" s="199"/>
      <c r="N7" s="172"/>
      <c r="O7" s="173" t="s">
        <v>0</v>
      </c>
      <c r="Q7" s="6" t="s">
        <v>0</v>
      </c>
      <c r="R7" s="4" t="s">
        <v>0</v>
      </c>
      <c r="U7" s="19"/>
      <c r="V7" s="13"/>
      <c r="W7" s="6">
        <f t="shared" ref="W7:X9" si="0">H6</f>
        <v>0.52342559823751367</v>
      </c>
      <c r="X7" s="6">
        <f t="shared" si="0"/>
        <v>0.36639791876625954</v>
      </c>
    </row>
    <row r="8" spans="3:25" ht="15" x14ac:dyDescent="0.25">
      <c r="C8" s="65" t="s">
        <v>12</v>
      </c>
      <c r="D8" s="154">
        <f>G8*12</f>
        <v>236.00400000000002</v>
      </c>
      <c r="E8" s="270" t="s">
        <v>4</v>
      </c>
      <c r="F8" s="155" t="s">
        <v>5</v>
      </c>
      <c r="G8" s="357">
        <v>19.667000000000002</v>
      </c>
      <c r="H8" s="47">
        <f>G8/G11</f>
        <v>0.46094171139287976</v>
      </c>
      <c r="I8" s="157">
        <f>H8*$I$5</f>
        <v>0.3226591979750158</v>
      </c>
      <c r="K8" s="65" t="s">
        <v>12</v>
      </c>
      <c r="L8" s="165">
        <f>M8*12</f>
        <v>236.00400000000002</v>
      </c>
      <c r="M8" s="199">
        <v>19.667000000000002</v>
      </c>
      <c r="N8" s="174">
        <f>M8/M11</f>
        <v>0.46826190476190482</v>
      </c>
      <c r="O8" s="175">
        <f>N8*$I$5</f>
        <v>0.32778333333333337</v>
      </c>
      <c r="Q8" s="6">
        <f>O8-I10</f>
        <v>-5.8187479004069842E-3</v>
      </c>
      <c r="R8" s="4">
        <f>D30*Q8</f>
        <v>-70.561303164792164</v>
      </c>
      <c r="U8" s="19"/>
      <c r="V8" s="13"/>
      <c r="W8" s="6">
        <f t="shared" si="0"/>
        <v>0</v>
      </c>
      <c r="X8" s="6" t="str">
        <f t="shared" si="0"/>
        <v xml:space="preserve"> </v>
      </c>
    </row>
    <row r="9" spans="3:25" ht="17.25" thickBot="1" x14ac:dyDescent="0.4">
      <c r="C9" s="64" t="s">
        <v>22</v>
      </c>
      <c r="D9" s="156">
        <f>G9*12</f>
        <v>8.0040000000000013</v>
      </c>
      <c r="E9" s="87" t="s">
        <v>13</v>
      </c>
      <c r="F9" s="87" t="s">
        <v>14</v>
      </c>
      <c r="G9" s="358">
        <v>0.66700000000000004</v>
      </c>
      <c r="H9" s="60">
        <f>G9/G11</f>
        <v>1.5632690369606489E-2</v>
      </c>
      <c r="I9" s="162">
        <f>H9*$I$5</f>
        <v>1.0942883258724542E-2</v>
      </c>
      <c r="K9" s="64" t="s">
        <v>22</v>
      </c>
      <c r="L9" s="156">
        <v>0</v>
      </c>
      <c r="M9" s="87" t="s">
        <v>13</v>
      </c>
      <c r="N9" s="87" t="s">
        <v>14</v>
      </c>
      <c r="O9" s="185" t="s">
        <v>0</v>
      </c>
      <c r="P9" s="60" t="s">
        <v>0</v>
      </c>
      <c r="Q9" s="159" t="s">
        <v>0</v>
      </c>
      <c r="R9" s="5" t="s">
        <v>0</v>
      </c>
      <c r="U9" s="19"/>
      <c r="V9" s="13"/>
      <c r="W9" s="6">
        <f t="shared" si="0"/>
        <v>0.46094171139287976</v>
      </c>
      <c r="X9" s="6">
        <f t="shared" si="0"/>
        <v>0.3226591979750158</v>
      </c>
    </row>
    <row r="10" spans="3:25" ht="18" customHeight="1" x14ac:dyDescent="0.35">
      <c r="C10" s="30" t="s">
        <v>57</v>
      </c>
      <c r="D10" s="32"/>
      <c r="E10" s="33"/>
      <c r="F10" s="33"/>
      <c r="G10" s="359">
        <f>SUM(G8:G9)</f>
        <v>20.334000000000003</v>
      </c>
      <c r="H10" s="158">
        <f>SUM(H8:H9)</f>
        <v>0.47657440176248622</v>
      </c>
      <c r="I10" s="70">
        <f>SUM(I8:I9)</f>
        <v>0.33360208123374036</v>
      </c>
      <c r="K10" s="30" t="s">
        <v>0</v>
      </c>
      <c r="L10" s="32"/>
      <c r="M10" s="200" t="s">
        <v>0</v>
      </c>
      <c r="N10" s="176" t="s">
        <v>0</v>
      </c>
      <c r="O10" s="177" t="s">
        <v>0</v>
      </c>
      <c r="P10" s="6" t="s">
        <v>0</v>
      </c>
      <c r="Q10" s="204" t="s">
        <v>75</v>
      </c>
      <c r="R10" s="202">
        <f>SUM(R6:R8)</f>
        <v>159.96003240563573</v>
      </c>
      <c r="S10" t="s">
        <v>61</v>
      </c>
      <c r="U10" s="19"/>
      <c r="V10" s="13"/>
      <c r="W10" s="6" t="s">
        <v>0</v>
      </c>
      <c r="X10" s="6" t="s">
        <v>0</v>
      </c>
    </row>
    <row r="11" spans="3:25" ht="16.5" thickBot="1" x14ac:dyDescent="0.3">
      <c r="C11" s="190" t="s">
        <v>58</v>
      </c>
      <c r="D11" s="74">
        <f>SUM(D6:D9)</f>
        <v>512.00400000000002</v>
      </c>
      <c r="E11" s="33"/>
      <c r="F11" s="33"/>
      <c r="G11" s="197">
        <f>SUM(G6:G9)</f>
        <v>42.667000000000002</v>
      </c>
      <c r="H11" s="160">
        <f>H6+H10</f>
        <v>0.99999999999999989</v>
      </c>
      <c r="I11" s="161">
        <f>I6+I10</f>
        <v>0.7</v>
      </c>
      <c r="K11" s="30" t="s">
        <v>59</v>
      </c>
      <c r="L11" s="74">
        <f>SUM(L6:L9)</f>
        <v>504</v>
      </c>
      <c r="M11" s="201">
        <f>SUM(M6:M9)</f>
        <v>42</v>
      </c>
      <c r="N11" s="178">
        <f>SUM(N6:N8)</f>
        <v>1</v>
      </c>
      <c r="O11" s="179">
        <f>SUM(O6:O8)</f>
        <v>0.7</v>
      </c>
      <c r="P11" s="6" t="s">
        <v>0</v>
      </c>
      <c r="Q11" s="205" t="s">
        <v>76</v>
      </c>
      <c r="R11" s="203">
        <f>R10*12</f>
        <v>1919.5203888676288</v>
      </c>
      <c r="S11" t="s">
        <v>71</v>
      </c>
      <c r="U11" s="19"/>
      <c r="V11" s="13"/>
      <c r="W11" s="6">
        <f>H10</f>
        <v>0.47657440176248622</v>
      </c>
      <c r="X11" s="6">
        <f>I10</f>
        <v>0.33360208123374036</v>
      </c>
    </row>
    <row r="12" spans="3:25" ht="15" thickBot="1" x14ac:dyDescent="0.25">
      <c r="C12" s="27" t="s">
        <v>74</v>
      </c>
      <c r="D12" s="129">
        <v>20</v>
      </c>
      <c r="E12" s="192" t="s">
        <v>42</v>
      </c>
      <c r="F12" s="127" t="s">
        <v>43</v>
      </c>
      <c r="G12" s="186">
        <v>1.667</v>
      </c>
      <c r="H12" s="181">
        <f>(G12)/G14</f>
        <v>3.7600938331754409E-2</v>
      </c>
      <c r="I12" s="182">
        <v>0</v>
      </c>
      <c r="K12" s="27" t="s">
        <v>74</v>
      </c>
      <c r="L12" s="129">
        <v>20</v>
      </c>
      <c r="M12" s="128">
        <v>1.667</v>
      </c>
      <c r="N12" s="181">
        <f>(M12)/M14</f>
        <v>3.8175281104724394E-2</v>
      </c>
      <c r="O12" s="29"/>
      <c r="P12" s="6" t="s">
        <v>0</v>
      </c>
      <c r="W12" s="6">
        <f>H11</f>
        <v>0.99999999999999989</v>
      </c>
      <c r="X12" s="6">
        <f>I11</f>
        <v>0.7</v>
      </c>
      <c r="Y12" s="33"/>
    </row>
    <row r="13" spans="3:25" x14ac:dyDescent="0.2">
      <c r="C13" s="27" t="s">
        <v>49</v>
      </c>
      <c r="D13" s="188">
        <f>D6+D12</f>
        <v>287.99599999999998</v>
      </c>
      <c r="E13" s="28"/>
      <c r="F13" s="127"/>
      <c r="G13" s="189">
        <f>G6+G12</f>
        <v>24</v>
      </c>
      <c r="H13" s="181">
        <f>G13/G14</f>
        <v>0.54134524292867769</v>
      </c>
      <c r="I13" s="193">
        <f>H13*I5</f>
        <v>0.37894167005007434</v>
      </c>
      <c r="K13" s="30" t="s">
        <v>49</v>
      </c>
      <c r="L13" s="135">
        <f>SUM(L6+L12)</f>
        <v>287.99599999999998</v>
      </c>
      <c r="M13" s="135">
        <f>SUM(M6+M12)</f>
        <v>24</v>
      </c>
      <c r="N13" s="181">
        <f>M13/M14</f>
        <v>0.54961412508301466</v>
      </c>
      <c r="O13" s="193">
        <f>N13*O5</f>
        <v>0.38472988755811022</v>
      </c>
      <c r="P13" s="6" t="s">
        <v>0</v>
      </c>
      <c r="W13" s="6"/>
      <c r="X13" s="6"/>
      <c r="Y13" s="33"/>
    </row>
    <row r="14" spans="3:25" ht="15" thickBot="1" x14ac:dyDescent="0.25">
      <c r="C14" s="35" t="s">
        <v>45</v>
      </c>
      <c r="D14" s="75">
        <f>D11+D12</f>
        <v>532.00400000000002</v>
      </c>
      <c r="E14" s="36" t="s">
        <v>44</v>
      </c>
      <c r="F14" s="37"/>
      <c r="G14" s="187">
        <f>G11+G12</f>
        <v>44.334000000000003</v>
      </c>
      <c r="H14" s="45"/>
      <c r="I14" s="153"/>
      <c r="K14" s="35" t="s">
        <v>45</v>
      </c>
      <c r="L14" s="75">
        <f>L11+L12</f>
        <v>524</v>
      </c>
      <c r="M14" s="38">
        <f>M11+M12</f>
        <v>43.667000000000002</v>
      </c>
      <c r="N14" s="45"/>
      <c r="O14" s="68"/>
      <c r="Y14" s="33"/>
    </row>
    <row r="15" spans="3:25" x14ac:dyDescent="0.2">
      <c r="C15" s="33"/>
      <c r="D15" s="74"/>
      <c r="E15" s="33"/>
      <c r="F15" s="34"/>
      <c r="G15" s="196"/>
      <c r="H15" s="41"/>
      <c r="I15" s="66"/>
      <c r="K15" s="33"/>
      <c r="L15" s="74"/>
      <c r="M15" s="44"/>
      <c r="N15" s="41"/>
      <c r="O15" s="33"/>
      <c r="Y15" s="33"/>
    </row>
    <row r="16" spans="3:25" x14ac:dyDescent="0.2">
      <c r="C16" s="33"/>
      <c r="D16" s="272" t="s">
        <v>105</v>
      </c>
      <c r="E16" s="56"/>
      <c r="F16" s="273">
        <v>41121</v>
      </c>
      <c r="H16" s="89" t="s">
        <v>25</v>
      </c>
      <c r="I16" s="92"/>
      <c r="J16" s="95"/>
      <c r="K16" s="267"/>
      <c r="L16" s="89" t="s">
        <v>34</v>
      </c>
      <c r="M16" s="92"/>
      <c r="N16" s="41"/>
      <c r="O16" s="33"/>
      <c r="Y16" s="33"/>
    </row>
    <row r="17" spans="1:25" x14ac:dyDescent="0.2">
      <c r="C17" s="33"/>
      <c r="D17" s="274"/>
      <c r="E17" s="34" t="s">
        <v>28</v>
      </c>
      <c r="F17" s="242">
        <v>82</v>
      </c>
      <c r="H17" s="48" t="s">
        <v>27</v>
      </c>
      <c r="I17" s="79">
        <v>8106.7</v>
      </c>
      <c r="J17" s="51">
        <f>I17/$I$19</f>
        <v>0.66850867952458726</v>
      </c>
      <c r="K17" s="51"/>
      <c r="L17" s="212" t="s">
        <v>103</v>
      </c>
      <c r="M17" s="98">
        <f>D39*J17</f>
        <v>10645.412433791071</v>
      </c>
      <c r="N17" s="41"/>
      <c r="O17" s="33"/>
      <c r="Y17" s="33"/>
    </row>
    <row r="18" spans="1:25" ht="16.5" x14ac:dyDescent="0.35">
      <c r="C18" s="33"/>
      <c r="D18" s="353"/>
      <c r="E18" s="354" t="s">
        <v>3</v>
      </c>
      <c r="F18" s="355">
        <f>F17/12</f>
        <v>6.833333333333333</v>
      </c>
      <c r="H18" s="48" t="s">
        <v>26</v>
      </c>
      <c r="I18" s="63">
        <f>1341.02/E30</f>
        <v>4019.8441247002397</v>
      </c>
      <c r="J18" s="49">
        <f>I18/$I$19</f>
        <v>0.33149132047541263</v>
      </c>
      <c r="K18" s="51"/>
      <c r="L18" s="212" t="s">
        <v>26</v>
      </c>
      <c r="M18" s="63">
        <f>D39*J18</f>
        <v>5278.7075662089283</v>
      </c>
      <c r="N18" s="41"/>
      <c r="O18" s="33"/>
      <c r="Y18" s="33"/>
    </row>
    <row r="19" spans="1:25" s="58" customFormat="1" x14ac:dyDescent="0.2">
      <c r="D19" s="57" t="s">
        <v>176</v>
      </c>
      <c r="F19" s="352">
        <v>0.02</v>
      </c>
      <c r="H19" s="93" t="s">
        <v>30</v>
      </c>
      <c r="I19" s="97">
        <f>SUM(I17:I18)</f>
        <v>12126.54412470024</v>
      </c>
      <c r="J19" s="96">
        <f>SUM(J17:J18)</f>
        <v>0.99999999999999989</v>
      </c>
      <c r="K19" s="266"/>
      <c r="L19" s="93" t="s">
        <v>35</v>
      </c>
      <c r="M19" s="97">
        <f>SUM(M17:M18)</f>
        <v>15924.119999999999</v>
      </c>
      <c r="O19" s="207"/>
    </row>
    <row r="20" spans="1:25" s="33" customFormat="1" ht="12.75" customHeight="1" x14ac:dyDescent="0.25">
      <c r="F20" s="91"/>
      <c r="G20" s="123"/>
      <c r="H20" s="208"/>
      <c r="I20" s="52"/>
      <c r="J20" s="91"/>
      <c r="K20" s="123"/>
      <c r="O20" s="209"/>
      <c r="R20" s="61"/>
    </row>
    <row r="21" spans="1:25" s="33" customFormat="1" ht="15" customHeight="1" x14ac:dyDescent="0.25">
      <c r="F21" s="91"/>
      <c r="G21" s="132" t="s">
        <v>47</v>
      </c>
      <c r="I21" s="52"/>
      <c r="J21" s="91"/>
      <c r="K21" s="123"/>
      <c r="O21" s="209"/>
      <c r="R21" s="61"/>
    </row>
    <row r="22" spans="1:25" s="33" customFormat="1" ht="15" customHeight="1" x14ac:dyDescent="0.25">
      <c r="F22" s="343" t="s">
        <v>189</v>
      </c>
      <c r="H22" s="132"/>
      <c r="I22" s="315">
        <f>H38/G11</f>
        <v>0.42937164553401924</v>
      </c>
      <c r="J22" s="91"/>
      <c r="K22" s="123"/>
      <c r="O22" s="209"/>
      <c r="R22" s="61"/>
    </row>
    <row r="23" spans="1:25" ht="15" x14ac:dyDescent="0.25">
      <c r="C23" s="33"/>
      <c r="F23" s="343" t="s">
        <v>170</v>
      </c>
      <c r="I23" s="315">
        <f>22.33/42.67</f>
        <v>0.5233184907429107</v>
      </c>
      <c r="J23" s="67"/>
      <c r="K23" s="42" t="s">
        <v>119</v>
      </c>
      <c r="R23" s="33"/>
    </row>
    <row r="24" spans="1:25" ht="15" x14ac:dyDescent="0.25">
      <c r="C24" s="33"/>
      <c r="D24" s="42" t="s">
        <v>172</v>
      </c>
      <c r="F24" s="343" t="s">
        <v>171</v>
      </c>
      <c r="I24" s="315">
        <f>I22/I23</f>
        <v>0.82047864374995971</v>
      </c>
      <c r="J24" s="67"/>
      <c r="L24" s="238" t="s">
        <v>92</v>
      </c>
      <c r="N24" s="78"/>
      <c r="O24" s="78"/>
      <c r="P24" s="78"/>
      <c r="Q24" s="33"/>
      <c r="R24" s="33"/>
    </row>
    <row r="25" spans="1:25" x14ac:dyDescent="0.2">
      <c r="A25" s="25" t="s">
        <v>73</v>
      </c>
      <c r="C25" s="33"/>
      <c r="F25" s="34"/>
      <c r="G25" s="44"/>
      <c r="H25" s="52"/>
      <c r="I25" s="315">
        <v>0.02</v>
      </c>
      <c r="J25" s="33"/>
      <c r="L25" s="78" t="s">
        <v>109</v>
      </c>
      <c r="M25" s="78"/>
      <c r="N25" s="78"/>
      <c r="O25" s="33"/>
      <c r="P25" s="33"/>
    </row>
    <row r="26" spans="1:25" ht="15.75" x14ac:dyDescent="0.25">
      <c r="A26" s="152">
        <v>1</v>
      </c>
      <c r="B26" s="106" t="s">
        <v>78</v>
      </c>
      <c r="I26" s="315">
        <f>I24*I25</f>
        <v>1.6409572874999195E-2</v>
      </c>
      <c r="J26" s="33"/>
      <c r="K26" t="s">
        <v>0</v>
      </c>
      <c r="L26" s="78" t="s">
        <v>93</v>
      </c>
      <c r="M26" s="78"/>
      <c r="N26" s="239">
        <f>O32</f>
        <v>159.90281834132475</v>
      </c>
      <c r="O26" s="142" t="s">
        <v>94</v>
      </c>
      <c r="P26" s="33"/>
    </row>
    <row r="27" spans="1:25" ht="15" x14ac:dyDescent="0.25">
      <c r="D27" s="16" t="s">
        <v>6</v>
      </c>
      <c r="E27" s="15" t="s">
        <v>8</v>
      </c>
      <c r="F27" s="33"/>
      <c r="G27" s="33"/>
      <c r="H27" s="349" t="s">
        <v>175</v>
      </c>
      <c r="I27" s="348" t="s">
        <v>0</v>
      </c>
      <c r="J27" s="122"/>
      <c r="K27" s="115"/>
      <c r="L27" s="116" t="s">
        <v>6</v>
      </c>
      <c r="M27" s="117" t="s">
        <v>8</v>
      </c>
      <c r="N27" s="115"/>
      <c r="O27" s="115"/>
      <c r="P27" s="92"/>
    </row>
    <row r="28" spans="1:25" ht="15" x14ac:dyDescent="0.25">
      <c r="B28" s="11" t="s">
        <v>17</v>
      </c>
      <c r="C28" s="11" t="s">
        <v>37</v>
      </c>
      <c r="D28" s="11" t="s">
        <v>7</v>
      </c>
      <c r="E28" s="23" t="s">
        <v>31</v>
      </c>
      <c r="F28" s="11" t="s">
        <v>10</v>
      </c>
      <c r="H28" s="11" t="s">
        <v>174</v>
      </c>
      <c r="I28" s="347" t="s">
        <v>173</v>
      </c>
      <c r="J28" s="120" t="s">
        <v>17</v>
      </c>
      <c r="K28" s="112" t="s">
        <v>37</v>
      </c>
      <c r="L28" s="112" t="s">
        <v>7</v>
      </c>
      <c r="M28" s="112" t="s">
        <v>31</v>
      </c>
      <c r="N28" s="112" t="s">
        <v>10</v>
      </c>
      <c r="O28" s="82"/>
      <c r="P28" s="113"/>
    </row>
    <row r="29" spans="1:25" x14ac:dyDescent="0.2">
      <c r="B29" s="21" t="s">
        <v>16</v>
      </c>
      <c r="C29" s="21" t="s">
        <v>18</v>
      </c>
      <c r="D29" s="1">
        <v>39617</v>
      </c>
      <c r="E29" s="22">
        <v>0.3664</v>
      </c>
      <c r="F29" s="1">
        <f>D29*E29</f>
        <v>14515.668799999999</v>
      </c>
      <c r="H29" s="292">
        <f>E29*100/2</f>
        <v>18.32</v>
      </c>
      <c r="I29" s="345">
        <f>H29/$G$6</f>
        <v>0.82031075090673</v>
      </c>
      <c r="J29" s="119" t="s">
        <v>16</v>
      </c>
      <c r="K29" s="82" t="s">
        <v>18</v>
      </c>
      <c r="L29" s="81">
        <v>39617</v>
      </c>
      <c r="M29" s="41">
        <f>O6</f>
        <v>0.37221666666666664</v>
      </c>
      <c r="N29" s="81">
        <f>L29*M29</f>
        <v>14746.107683333332</v>
      </c>
      <c r="O29" s="78"/>
      <c r="P29" s="79" t="s">
        <v>32</v>
      </c>
    </row>
    <row r="30" spans="1:25" ht="17.25" thickBot="1" x14ac:dyDescent="0.4">
      <c r="B30" t="s">
        <v>15</v>
      </c>
      <c r="C30" s="10" t="s">
        <v>19</v>
      </c>
      <c r="D30" s="24">
        <f>SUM($I$17:$I$18)</f>
        <v>12126.54412470024</v>
      </c>
      <c r="E30" s="19">
        <v>0.33360000000000001</v>
      </c>
      <c r="F30" s="5">
        <f>D30*E30</f>
        <v>4045.4151200000001</v>
      </c>
      <c r="H30" s="350">
        <f>E30*100/2</f>
        <v>16.68</v>
      </c>
      <c r="I30" s="346">
        <f>H30/$G$10</f>
        <v>0.82030097373856581</v>
      </c>
      <c r="J30" s="80" t="s">
        <v>15</v>
      </c>
      <c r="K30" s="275" t="s">
        <v>107</v>
      </c>
      <c r="L30" s="83">
        <f>I19</f>
        <v>12126.54412470024</v>
      </c>
      <c r="M30" s="43">
        <f>O8</f>
        <v>0.32778333333333337</v>
      </c>
      <c r="N30" s="84">
        <f>L30*M30</f>
        <v>3974.8790550079943</v>
      </c>
      <c r="O30" s="78"/>
      <c r="P30" s="79">
        <f>M29*100/2</f>
        <v>18.610833333333332</v>
      </c>
    </row>
    <row r="31" spans="1:25" ht="17.25" thickBot="1" x14ac:dyDescent="0.4">
      <c r="E31" s="7">
        <v>0.7</v>
      </c>
      <c r="F31" s="39" t="s">
        <v>24</v>
      </c>
      <c r="G31" s="40">
        <f>SUM(F29:F30)</f>
        <v>18561.083920000001</v>
      </c>
      <c r="H31" s="351">
        <f>SUM(H29:H30)</f>
        <v>35</v>
      </c>
      <c r="I31" s="345">
        <f>H31/$G$11</f>
        <v>0.82030609135866128</v>
      </c>
      <c r="J31" s="80"/>
      <c r="K31" s="78"/>
      <c r="L31" s="78"/>
      <c r="M31" s="85">
        <f>SUM(M29:M30)</f>
        <v>0.7</v>
      </c>
      <c r="N31" s="78" t="s">
        <v>24</v>
      </c>
      <c r="O31" s="108">
        <f>SUM(N29:N30)</f>
        <v>18720.986738341326</v>
      </c>
      <c r="P31" s="63">
        <f>M30*100/2</f>
        <v>16.389166666666668</v>
      </c>
    </row>
    <row r="32" spans="1:25" ht="15.75" thickBot="1" x14ac:dyDescent="0.3">
      <c r="E32" s="7"/>
      <c r="F32" s="61"/>
      <c r="G32" s="62"/>
      <c r="H32" s="12"/>
      <c r="J32" s="80"/>
      <c r="K32" s="78" t="s">
        <v>122</v>
      </c>
      <c r="M32" s="33"/>
      <c r="N32" s="86"/>
      <c r="O32" s="206">
        <f>O31-G31</f>
        <v>159.90281834132475</v>
      </c>
      <c r="P32" s="79">
        <f>SUM(P30:P31)</f>
        <v>35</v>
      </c>
    </row>
    <row r="33" spans="1:17" ht="15.75" thickBot="1" x14ac:dyDescent="0.3">
      <c r="E33" s="7"/>
      <c r="F33" s="61"/>
      <c r="G33" s="62"/>
      <c r="H33" s="12" t="s">
        <v>0</v>
      </c>
      <c r="I33" s="315"/>
      <c r="J33" s="57"/>
      <c r="K33" s="88"/>
      <c r="L33" s="167" t="s">
        <v>87</v>
      </c>
      <c r="M33" s="101"/>
      <c r="N33" s="223"/>
      <c r="O33" s="107">
        <f>O32*12</f>
        <v>1918.833820095897</v>
      </c>
      <c r="P33" s="215" t="s">
        <v>71</v>
      </c>
    </row>
    <row r="34" spans="1:17" ht="15" x14ac:dyDescent="0.25">
      <c r="E34" s="7"/>
      <c r="F34" s="61"/>
      <c r="G34" s="62"/>
      <c r="H34" s="12"/>
      <c r="I34" s="14"/>
      <c r="J34" s="78" t="s">
        <v>110</v>
      </c>
      <c r="L34" s="78"/>
      <c r="M34" s="78"/>
      <c r="N34" s="78"/>
      <c r="O34" s="83"/>
      <c r="P34" s="33"/>
      <c r="Q34" s="33"/>
    </row>
    <row r="35" spans="1:17" ht="15.75" x14ac:dyDescent="0.25">
      <c r="B35" s="106" t="s">
        <v>77</v>
      </c>
      <c r="K35" s="33"/>
      <c r="L35" s="33"/>
      <c r="M35" s="33"/>
      <c r="N35" s="33"/>
      <c r="O35" s="33"/>
      <c r="P35" s="33"/>
    </row>
    <row r="36" spans="1:17" ht="15" x14ac:dyDescent="0.25">
      <c r="D36" s="16" t="s">
        <v>6</v>
      </c>
      <c r="E36" s="15" t="s">
        <v>8</v>
      </c>
      <c r="F36" s="33"/>
      <c r="J36" s="122"/>
      <c r="K36" s="115"/>
      <c r="L36" s="116" t="s">
        <v>6</v>
      </c>
      <c r="M36" s="117" t="s">
        <v>8</v>
      </c>
      <c r="N36" s="115"/>
      <c r="O36" s="115"/>
      <c r="P36" s="92"/>
    </row>
    <row r="37" spans="1:17" ht="15" x14ac:dyDescent="0.25">
      <c r="B37" s="11" t="s">
        <v>17</v>
      </c>
      <c r="C37" s="11" t="s">
        <v>37</v>
      </c>
      <c r="D37" s="11" t="s">
        <v>7</v>
      </c>
      <c r="E37" s="23" t="s">
        <v>9</v>
      </c>
      <c r="F37" s="11" t="s">
        <v>10</v>
      </c>
      <c r="G37" s="33"/>
      <c r="H37" t="s">
        <v>32</v>
      </c>
      <c r="J37" s="120" t="s">
        <v>17</v>
      </c>
      <c r="K37" s="112" t="s">
        <v>37</v>
      </c>
      <c r="L37" s="112" t="s">
        <v>7</v>
      </c>
      <c r="M37" s="112" t="s">
        <v>31</v>
      </c>
      <c r="N37" s="112" t="s">
        <v>10</v>
      </c>
      <c r="O37" s="82"/>
      <c r="P37" s="113"/>
    </row>
    <row r="38" spans="1:17" x14ac:dyDescent="0.2">
      <c r="B38" s="21" t="s">
        <v>16</v>
      </c>
      <c r="C38" s="21" t="s">
        <v>18</v>
      </c>
      <c r="D38" s="1">
        <v>39617</v>
      </c>
      <c r="E38" s="22">
        <v>0.3664</v>
      </c>
      <c r="F38" s="1">
        <f>D38*E38</f>
        <v>14515.668799999999</v>
      </c>
      <c r="H38" s="105">
        <f>E38*100/2</f>
        <v>18.32</v>
      </c>
      <c r="I38" s="345">
        <f>H38/$G$6</f>
        <v>0.82031075090673</v>
      </c>
      <c r="J38" s="119" t="s">
        <v>16</v>
      </c>
      <c r="K38" s="82" t="s">
        <v>18</v>
      </c>
      <c r="L38" s="81">
        <v>39617</v>
      </c>
      <c r="M38" s="41">
        <f>O6</f>
        <v>0.37221666666666664</v>
      </c>
      <c r="N38" s="81">
        <f>L38*M38</f>
        <v>14746.107683333332</v>
      </c>
      <c r="O38" s="78"/>
      <c r="P38" s="79" t="s">
        <v>32</v>
      </c>
    </row>
    <row r="39" spans="1:17" ht="17.25" thickBot="1" x14ac:dyDescent="0.4">
      <c r="B39" t="s">
        <v>15</v>
      </c>
      <c r="C39" t="s">
        <v>33</v>
      </c>
      <c r="D39" s="24">
        <v>15924.12</v>
      </c>
      <c r="E39" s="19">
        <v>0.33360000000000001</v>
      </c>
      <c r="F39" s="1">
        <f>D39*E39</f>
        <v>5312.2864320000008</v>
      </c>
      <c r="H39" s="105">
        <f>E39*100/2</f>
        <v>16.68</v>
      </c>
      <c r="I39" s="346">
        <f>H39/$G$10</f>
        <v>0.82030097373856581</v>
      </c>
      <c r="J39" s="80" t="s">
        <v>15</v>
      </c>
      <c r="K39" s="275" t="s">
        <v>106</v>
      </c>
      <c r="L39" s="83">
        <f>M19</f>
        <v>15924.119999999999</v>
      </c>
      <c r="M39" s="43">
        <f>O8</f>
        <v>0.32778333333333337</v>
      </c>
      <c r="N39" s="84">
        <f>L39*M39</f>
        <v>5219.6611339999999</v>
      </c>
      <c r="O39" s="78"/>
      <c r="P39" s="79">
        <f>M38*100/2</f>
        <v>18.610833333333332</v>
      </c>
    </row>
    <row r="40" spans="1:17" ht="17.25" thickBot="1" x14ac:dyDescent="0.4">
      <c r="E40" s="7">
        <v>0.7</v>
      </c>
      <c r="F40" s="39" t="s">
        <v>24</v>
      </c>
      <c r="G40" s="40">
        <f>SUM(F38:F39)</f>
        <v>19827.955232</v>
      </c>
      <c r="H40" s="12">
        <f>SUM(H38:H39)</f>
        <v>35</v>
      </c>
      <c r="I40" s="345">
        <f>H40/$G$11</f>
        <v>0.82030609135866128</v>
      </c>
      <c r="J40" s="80"/>
      <c r="K40" s="78"/>
      <c r="L40" s="78"/>
      <c r="M40" s="85">
        <f>SUM(M38:M39)</f>
        <v>0.7</v>
      </c>
      <c r="N40" s="78" t="s">
        <v>24</v>
      </c>
      <c r="O40" s="108">
        <f>SUM(N38:N39)</f>
        <v>19965.76881733333</v>
      </c>
      <c r="P40" s="63">
        <f>M39*100/2</f>
        <v>16.389166666666668</v>
      </c>
    </row>
    <row r="41" spans="1:17" ht="15.75" thickBot="1" x14ac:dyDescent="0.3">
      <c r="D41" s="100" t="s">
        <v>79</v>
      </c>
      <c r="E41" s="101"/>
      <c r="F41" s="102"/>
      <c r="G41" s="103">
        <f>G31-G40</f>
        <v>-1266.8713119999993</v>
      </c>
      <c r="H41" s="104" t="s">
        <v>36</v>
      </c>
      <c r="J41" s="80"/>
      <c r="K41" s="78" t="s">
        <v>122</v>
      </c>
      <c r="L41" s="78"/>
      <c r="M41" s="86"/>
      <c r="N41" s="33"/>
      <c r="O41" s="206">
        <f>O40-G40</f>
        <v>137.81358533332968</v>
      </c>
      <c r="P41" s="79">
        <f>SUM(P39:P40)</f>
        <v>35</v>
      </c>
    </row>
    <row r="42" spans="1:17" ht="15.75" thickBot="1" x14ac:dyDescent="0.3">
      <c r="G42" s="214">
        <f>G41*12</f>
        <v>-15202.455743999992</v>
      </c>
      <c r="H42" s="215" t="s">
        <v>71</v>
      </c>
      <c r="J42" s="121"/>
      <c r="K42" s="88"/>
      <c r="L42" s="167" t="s">
        <v>86</v>
      </c>
      <c r="M42" s="168"/>
      <c r="N42" s="168"/>
      <c r="O42" s="107">
        <f>O41*12</f>
        <v>1653.7630239999562</v>
      </c>
      <c r="P42" s="215" t="s">
        <v>71</v>
      </c>
    </row>
    <row r="43" spans="1:17" ht="15.75" thickBot="1" x14ac:dyDescent="0.3">
      <c r="A43" s="33"/>
      <c r="B43" s="33"/>
      <c r="E43" s="279">
        <f>$F$18</f>
        <v>6.833333333333333</v>
      </c>
      <c r="F43" s="142" t="s">
        <v>118</v>
      </c>
      <c r="G43" s="280">
        <f>G42*E43</f>
        <v>-103883.44758399994</v>
      </c>
      <c r="H43" s="222"/>
      <c r="I43" s="33"/>
      <c r="J43" s="94" t="s">
        <v>72</v>
      </c>
      <c r="K43" s="78"/>
      <c r="L43" s="78"/>
      <c r="M43" s="78"/>
      <c r="N43" s="78"/>
      <c r="O43" s="206"/>
      <c r="P43" s="222"/>
    </row>
    <row r="44" spans="1:17" ht="15" x14ac:dyDescent="0.25">
      <c r="A44" s="33"/>
      <c r="B44" s="33"/>
      <c r="C44" s="33"/>
      <c r="D44" s="33"/>
      <c r="E44" s="33"/>
      <c r="F44" s="33"/>
      <c r="G44" s="99"/>
      <c r="H44" s="222"/>
      <c r="I44" s="33"/>
      <c r="J44" s="94"/>
      <c r="K44" s="78" t="s">
        <v>85</v>
      </c>
      <c r="L44" s="78"/>
      <c r="M44" s="78"/>
      <c r="N44" s="78"/>
      <c r="O44" s="206"/>
      <c r="P44" s="222"/>
      <c r="Q44" s="33"/>
    </row>
    <row r="45" spans="1:17" s="56" customFormat="1" ht="15" x14ac:dyDescent="0.25">
      <c r="E45" s="224"/>
      <c r="F45" s="225"/>
      <c r="G45" s="226"/>
    </row>
    <row r="46" spans="1:17" ht="18.75" x14ac:dyDescent="0.3">
      <c r="A46" s="152">
        <v>2</v>
      </c>
      <c r="B46" s="106" t="s">
        <v>40</v>
      </c>
    </row>
    <row r="47" spans="1:17" ht="15.75" x14ac:dyDescent="0.25">
      <c r="B47" s="106"/>
      <c r="C47" s="130">
        <v>0.02</v>
      </c>
      <c r="D47" t="s">
        <v>168</v>
      </c>
    </row>
    <row r="48" spans="1:17" ht="15" x14ac:dyDescent="0.25">
      <c r="D48" s="16" t="s">
        <v>6</v>
      </c>
      <c r="E48" s="15" t="s">
        <v>8</v>
      </c>
      <c r="F48" s="33"/>
      <c r="J48" s="122"/>
      <c r="K48" s="115"/>
      <c r="L48" s="116" t="s">
        <v>6</v>
      </c>
      <c r="M48" s="117" t="s">
        <v>8</v>
      </c>
      <c r="N48" s="115"/>
      <c r="O48" s="115"/>
      <c r="P48" s="92"/>
    </row>
    <row r="49" spans="1:16" ht="15" x14ac:dyDescent="0.25">
      <c r="B49" s="11" t="s">
        <v>17</v>
      </c>
      <c r="C49" s="11" t="s">
        <v>37</v>
      </c>
      <c r="D49" s="11" t="s">
        <v>7</v>
      </c>
      <c r="E49" s="23" t="s">
        <v>9</v>
      </c>
      <c r="F49" s="11" t="s">
        <v>10</v>
      </c>
      <c r="G49" s="33"/>
      <c r="H49" t="s">
        <v>32</v>
      </c>
      <c r="J49" s="120" t="s">
        <v>17</v>
      </c>
      <c r="K49" s="112" t="s">
        <v>37</v>
      </c>
      <c r="L49" s="112" t="s">
        <v>7</v>
      </c>
      <c r="M49" s="112" t="s">
        <v>31</v>
      </c>
      <c r="N49" s="112" t="s">
        <v>10</v>
      </c>
      <c r="O49" s="82"/>
      <c r="P49" s="113"/>
    </row>
    <row r="50" spans="1:16" x14ac:dyDescent="0.2">
      <c r="B50" s="21" t="s">
        <v>16</v>
      </c>
      <c r="C50" s="21" t="s">
        <v>18</v>
      </c>
      <c r="D50" s="1">
        <v>39617</v>
      </c>
      <c r="E50" s="22">
        <f>$G$6*2%</f>
        <v>0.44666</v>
      </c>
      <c r="F50" s="1">
        <f>D50*E50</f>
        <v>17695.32922</v>
      </c>
      <c r="H50" s="105">
        <f>E50*100/2</f>
        <v>22.332999999999998</v>
      </c>
      <c r="I50" s="345"/>
      <c r="J50" s="119" t="s">
        <v>16</v>
      </c>
      <c r="K50" s="82" t="s">
        <v>18</v>
      </c>
      <c r="L50" s="81">
        <v>39617</v>
      </c>
      <c r="M50" s="41">
        <f>M6*2%</f>
        <v>0.44666</v>
      </c>
      <c r="N50" s="81">
        <f>L50*M50</f>
        <v>17695.32922</v>
      </c>
      <c r="O50" s="78"/>
      <c r="P50" s="79" t="s">
        <v>32</v>
      </c>
    </row>
    <row r="51" spans="1:16" ht="17.25" thickBot="1" x14ac:dyDescent="0.4">
      <c r="B51" t="s">
        <v>15</v>
      </c>
      <c r="C51" t="s">
        <v>19</v>
      </c>
      <c r="D51" s="24">
        <f>D30</f>
        <v>12126.54412470024</v>
      </c>
      <c r="E51" s="19">
        <f>70%-E50</f>
        <v>0.25333999999999995</v>
      </c>
      <c r="F51" s="1">
        <f>D51*E51</f>
        <v>3072.1386885515581</v>
      </c>
      <c r="H51" s="26">
        <f>E51*100/2</f>
        <v>12.666999999999998</v>
      </c>
      <c r="I51" s="346"/>
      <c r="J51" s="80" t="s">
        <v>15</v>
      </c>
      <c r="K51" s="275" t="s">
        <v>107</v>
      </c>
      <c r="L51" s="83">
        <f>D51</f>
        <v>12126.54412470024</v>
      </c>
      <c r="M51" s="43">
        <f>70%-M50</f>
        <v>0.25333999999999995</v>
      </c>
      <c r="N51" s="84">
        <f>L51*M51</f>
        <v>3072.1386885515581</v>
      </c>
      <c r="O51" s="78"/>
      <c r="P51" s="79">
        <f>M50*100/2</f>
        <v>22.332999999999998</v>
      </c>
    </row>
    <row r="52" spans="1:16" ht="17.25" thickBot="1" x14ac:dyDescent="0.4">
      <c r="A52" s="90"/>
      <c r="B52" s="33"/>
      <c r="E52" s="7">
        <f>SUM(E50:E51)</f>
        <v>0.7</v>
      </c>
      <c r="F52" s="39" t="s">
        <v>24</v>
      </c>
      <c r="G52" s="40">
        <f>SUM(F50:F51)</f>
        <v>20767.467908551556</v>
      </c>
      <c r="H52" s="12">
        <f>SUM(H50:H51)</f>
        <v>35</v>
      </c>
      <c r="I52" s="345"/>
      <c r="J52" s="80"/>
      <c r="K52" s="78"/>
      <c r="L52" s="78"/>
      <c r="M52" s="85">
        <f>SUM(M50:M51)</f>
        <v>0.7</v>
      </c>
      <c r="N52" s="78" t="s">
        <v>24</v>
      </c>
      <c r="O52" s="108">
        <f>SUM(N50:N51)</f>
        <v>20767.467908551556</v>
      </c>
      <c r="P52" s="63">
        <f>M51*100/2</f>
        <v>12.666999999999998</v>
      </c>
    </row>
    <row r="53" spans="1:16" ht="15.75" thickBot="1" x14ac:dyDescent="0.3">
      <c r="A53" s="33"/>
      <c r="B53" s="83"/>
      <c r="E53" s="7"/>
      <c r="F53" s="61"/>
      <c r="G53" s="62"/>
      <c r="J53" s="80"/>
      <c r="K53" s="78"/>
      <c r="L53" s="78"/>
      <c r="M53" s="78"/>
      <c r="N53" s="86" t="s">
        <v>60</v>
      </c>
      <c r="O53" s="107">
        <f>G52-O52</f>
        <v>0</v>
      </c>
      <c r="P53" s="79">
        <f>SUM(P51:P52)</f>
        <v>35</v>
      </c>
    </row>
    <row r="54" spans="1:16" ht="15.75" thickBot="1" x14ac:dyDescent="0.3">
      <c r="A54" s="33"/>
      <c r="B54" s="124" t="s">
        <v>41</v>
      </c>
      <c r="C54" s="55"/>
      <c r="D54" s="55"/>
      <c r="E54" s="55"/>
      <c r="F54" s="125"/>
      <c r="G54" s="216">
        <f>$G$31-G52</f>
        <v>-2206.3839885515554</v>
      </c>
      <c r="H54" s="92" t="s">
        <v>36</v>
      </c>
      <c r="J54" s="48"/>
      <c r="K54" s="33"/>
      <c r="L54" s="78"/>
      <c r="M54" s="78"/>
      <c r="N54" s="78"/>
      <c r="O54" s="83"/>
      <c r="P54" s="242"/>
    </row>
    <row r="55" spans="1:16" ht="15.75" thickBot="1" x14ac:dyDescent="0.3">
      <c r="A55" s="91"/>
      <c r="B55" s="123"/>
      <c r="E55" s="7"/>
      <c r="F55" s="61"/>
      <c r="G55" s="214">
        <f>G54*12</f>
        <v>-26476.607862618665</v>
      </c>
      <c r="H55" s="290" t="s">
        <v>71</v>
      </c>
      <c r="I55" s="33"/>
      <c r="J55" s="167" t="s">
        <v>111</v>
      </c>
      <c r="K55" s="101"/>
      <c r="L55" s="101"/>
      <c r="M55" s="101"/>
      <c r="N55" s="101"/>
      <c r="O55" s="101"/>
      <c r="P55" s="104"/>
    </row>
    <row r="56" spans="1:16" ht="15.75" thickBot="1" x14ac:dyDescent="0.3">
      <c r="E56" s="279">
        <f>$F$18</f>
        <v>6.833333333333333</v>
      </c>
      <c r="F56" s="142" t="s">
        <v>118</v>
      </c>
      <c r="G56" s="280">
        <f>G55*E56</f>
        <v>-180923.48706122753</v>
      </c>
      <c r="J56" s="33"/>
    </row>
    <row r="57" spans="1:16" ht="15" x14ac:dyDescent="0.25">
      <c r="E57" s="279"/>
      <c r="F57" s="142"/>
      <c r="G57" s="99"/>
      <c r="J57" s="33"/>
    </row>
    <row r="58" spans="1:16" ht="18.75" x14ac:dyDescent="0.3">
      <c r="B58" s="106" t="s">
        <v>39</v>
      </c>
    </row>
    <row r="59" spans="1:16" ht="15.75" x14ac:dyDescent="0.25">
      <c r="B59" s="106"/>
      <c r="C59" s="130">
        <v>0.02</v>
      </c>
      <c r="D59" t="s">
        <v>83</v>
      </c>
    </row>
    <row r="60" spans="1:16" ht="15.75" thickBot="1" x14ac:dyDescent="0.3">
      <c r="D60" s="16" t="s">
        <v>6</v>
      </c>
      <c r="E60" s="15" t="s">
        <v>8</v>
      </c>
      <c r="F60" s="33"/>
    </row>
    <row r="61" spans="1:16" ht="15" x14ac:dyDescent="0.25">
      <c r="B61" s="11" t="s">
        <v>17</v>
      </c>
      <c r="C61" s="11" t="s">
        <v>37</v>
      </c>
      <c r="D61" s="11" t="s">
        <v>7</v>
      </c>
      <c r="E61" s="23" t="s">
        <v>9</v>
      </c>
      <c r="F61" s="11" t="s">
        <v>10</v>
      </c>
      <c r="G61" s="33"/>
      <c r="H61" t="s">
        <v>32</v>
      </c>
      <c r="K61" s="27"/>
      <c r="L61" s="28"/>
      <c r="M61" s="28" t="s">
        <v>113</v>
      </c>
      <c r="N61" s="28"/>
      <c r="O61" s="29"/>
    </row>
    <row r="62" spans="1:16" x14ac:dyDescent="0.2">
      <c r="B62" s="21" t="s">
        <v>16</v>
      </c>
      <c r="C62" s="21" t="s">
        <v>18</v>
      </c>
      <c r="D62" s="1">
        <v>39617</v>
      </c>
      <c r="E62" s="22">
        <f>E50</f>
        <v>0.44666</v>
      </c>
      <c r="F62" s="1">
        <f>D62*E62</f>
        <v>17695.32922</v>
      </c>
      <c r="H62" s="105">
        <f>E62*100/2</f>
        <v>22.332999999999998</v>
      </c>
      <c r="K62" s="30" t="s">
        <v>112</v>
      </c>
      <c r="L62" s="33"/>
      <c r="M62" s="33"/>
      <c r="N62" s="33"/>
      <c r="O62" s="247"/>
    </row>
    <row r="63" spans="1:16" ht="15" thickBot="1" x14ac:dyDescent="0.25">
      <c r="B63" t="s">
        <v>15</v>
      </c>
      <c r="C63" t="s">
        <v>33</v>
      </c>
      <c r="D63" s="24">
        <f>D39</f>
        <v>15924.12</v>
      </c>
      <c r="E63" s="19">
        <f>70%-E62</f>
        <v>0.25333999999999995</v>
      </c>
      <c r="F63" s="1">
        <f>D63*E63</f>
        <v>4034.2165607999996</v>
      </c>
      <c r="H63" s="26">
        <f>E63*100/2</f>
        <v>12.666999999999998</v>
      </c>
      <c r="K63" s="289" t="s">
        <v>114</v>
      </c>
      <c r="L63" s="36"/>
      <c r="M63" s="36"/>
      <c r="N63" s="36"/>
      <c r="O63" s="68"/>
    </row>
    <row r="64" spans="1:16" ht="15.75" thickBot="1" x14ac:dyDescent="0.3">
      <c r="A64" s="90"/>
      <c r="B64" s="33"/>
      <c r="E64" s="7">
        <f>SUM(E62:E63)</f>
        <v>0.7</v>
      </c>
      <c r="F64" s="39" t="s">
        <v>24</v>
      </c>
      <c r="G64" s="40">
        <f>SUM(F62:F63)</f>
        <v>21729.545780799999</v>
      </c>
      <c r="H64" s="12">
        <f>SUM(H62:H63)</f>
        <v>35</v>
      </c>
    </row>
    <row r="65" spans="1:16" ht="15.75" thickBot="1" x14ac:dyDescent="0.3">
      <c r="A65" s="33"/>
      <c r="B65" s="83"/>
      <c r="E65" s="7"/>
      <c r="F65" s="61"/>
      <c r="G65" s="62"/>
      <c r="J65" s="78" t="s">
        <v>0</v>
      </c>
      <c r="K65" s="78"/>
      <c r="L65" s="78"/>
      <c r="M65" s="78"/>
      <c r="N65" s="206"/>
      <c r="O65" s="222"/>
    </row>
    <row r="66" spans="1:16" ht="15" x14ac:dyDescent="0.25">
      <c r="A66" s="33"/>
      <c r="B66" s="124" t="s">
        <v>120</v>
      </c>
      <c r="C66" s="55"/>
      <c r="D66" s="55"/>
      <c r="E66" s="55"/>
      <c r="F66" s="125"/>
      <c r="G66" s="217">
        <f>G31-G64</f>
        <v>-3168.4618607999982</v>
      </c>
      <c r="H66" s="218" t="s">
        <v>36</v>
      </c>
    </row>
    <row r="67" spans="1:16" ht="15.75" thickBot="1" x14ac:dyDescent="0.3">
      <c r="A67" s="33"/>
      <c r="B67" s="131"/>
      <c r="C67" s="33"/>
      <c r="D67" s="33"/>
      <c r="E67" s="33"/>
      <c r="F67" s="61"/>
      <c r="G67" s="219">
        <f>G66*12</f>
        <v>-38021.542329599979</v>
      </c>
      <c r="H67" s="220" t="s">
        <v>71</v>
      </c>
    </row>
    <row r="68" spans="1:16" ht="15.75" thickBot="1" x14ac:dyDescent="0.3">
      <c r="A68" s="33"/>
      <c r="B68" s="131"/>
      <c r="C68" s="33"/>
      <c r="D68" s="33"/>
      <c r="E68" s="279">
        <f>$F$18</f>
        <v>6.833333333333333</v>
      </c>
      <c r="F68" s="142" t="s">
        <v>118</v>
      </c>
      <c r="G68" s="280">
        <f>G67*E68</f>
        <v>-259813.87258559983</v>
      </c>
    </row>
    <row r="69" spans="1:16" ht="15" x14ac:dyDescent="0.25">
      <c r="A69" s="33"/>
      <c r="B69" s="131"/>
      <c r="C69" s="33"/>
      <c r="D69" s="33"/>
      <c r="E69" s="33"/>
      <c r="F69" s="61"/>
      <c r="G69" s="62"/>
    </row>
    <row r="70" spans="1:16" ht="15" x14ac:dyDescent="0.25">
      <c r="A70" s="33"/>
      <c r="B70" s="131"/>
      <c r="C70" s="33"/>
      <c r="D70" s="33"/>
      <c r="E70" s="33"/>
      <c r="F70" s="61"/>
      <c r="G70" s="62"/>
    </row>
    <row r="71" spans="1:16" ht="15" x14ac:dyDescent="0.25">
      <c r="A71" s="33"/>
      <c r="B71" s="131"/>
      <c r="C71" s="33"/>
      <c r="D71" s="33"/>
      <c r="E71" s="33"/>
      <c r="F71" s="61"/>
      <c r="G71" s="99"/>
      <c r="H71" s="33"/>
    </row>
    <row r="72" spans="1:16" ht="18" x14ac:dyDescent="0.25">
      <c r="A72" s="33"/>
      <c r="B72" s="131"/>
      <c r="C72" s="33"/>
      <c r="E72" s="33"/>
      <c r="F72" s="61"/>
      <c r="G72" s="99"/>
      <c r="H72" s="132" t="s">
        <v>46</v>
      </c>
    </row>
    <row r="73" spans="1:16" x14ac:dyDescent="0.2">
      <c r="E73" s="276">
        <f>G11</f>
        <v>42.667000000000002</v>
      </c>
      <c r="F73" s="277" t="s">
        <v>115</v>
      </c>
      <c r="G73" s="8"/>
      <c r="K73" s="276">
        <f>M11</f>
        <v>42</v>
      </c>
      <c r="L73" s="277" t="s">
        <v>116</v>
      </c>
    </row>
    <row r="74" spans="1:16" ht="18.75" x14ac:dyDescent="0.3">
      <c r="B74" s="106" t="s">
        <v>80</v>
      </c>
    </row>
    <row r="75" spans="1:16" ht="15" x14ac:dyDescent="0.25">
      <c r="D75" s="16" t="s">
        <v>6</v>
      </c>
      <c r="E75" s="15" t="s">
        <v>8</v>
      </c>
      <c r="F75" s="33"/>
      <c r="J75" s="122"/>
      <c r="K75" s="115"/>
      <c r="L75" s="116" t="s">
        <v>6</v>
      </c>
      <c r="M75" s="117" t="s">
        <v>8</v>
      </c>
      <c r="N75" s="115"/>
      <c r="O75" s="115"/>
      <c r="P75" s="92"/>
    </row>
    <row r="76" spans="1:16" ht="15" x14ac:dyDescent="0.25">
      <c r="B76" s="11" t="s">
        <v>17</v>
      </c>
      <c r="C76" s="11" t="s">
        <v>37</v>
      </c>
      <c r="D76" s="11" t="s">
        <v>7</v>
      </c>
      <c r="E76" s="23" t="s">
        <v>9</v>
      </c>
      <c r="F76" s="11" t="s">
        <v>10</v>
      </c>
      <c r="G76" s="33"/>
      <c r="H76" t="s">
        <v>32</v>
      </c>
      <c r="J76" s="120" t="s">
        <v>17</v>
      </c>
      <c r="K76" s="112" t="s">
        <v>37</v>
      </c>
      <c r="L76" s="112" t="s">
        <v>7</v>
      </c>
      <c r="M76" s="112" t="s">
        <v>31</v>
      </c>
      <c r="N76" s="112" t="s">
        <v>10</v>
      </c>
      <c r="O76" s="82"/>
      <c r="P76" s="113"/>
    </row>
    <row r="77" spans="1:16" x14ac:dyDescent="0.2">
      <c r="B77" s="21" t="s">
        <v>16</v>
      </c>
      <c r="C77" s="21" t="s">
        <v>18</v>
      </c>
      <c r="D77" s="1">
        <v>39617</v>
      </c>
      <c r="E77" s="22">
        <f>G6*2%</f>
        <v>0.44666</v>
      </c>
      <c r="F77" s="1">
        <f>D77*E77</f>
        <v>17695.32922</v>
      </c>
      <c r="H77" s="105">
        <f>E77*100/2</f>
        <v>22.332999999999998</v>
      </c>
      <c r="I77">
        <f>H77/G6</f>
        <v>1</v>
      </c>
      <c r="J77" s="119" t="s">
        <v>16</v>
      </c>
      <c r="K77" s="82" t="s">
        <v>18</v>
      </c>
      <c r="L77" s="81">
        <v>39617</v>
      </c>
      <c r="M77" s="41">
        <f>M6*2%</f>
        <v>0.44666</v>
      </c>
      <c r="N77" s="81">
        <f>L77*M77</f>
        <v>17695.32922</v>
      </c>
      <c r="O77" s="78"/>
      <c r="P77" s="79" t="s">
        <v>32</v>
      </c>
    </row>
    <row r="78" spans="1:16" ht="17.25" thickBot="1" x14ac:dyDescent="0.4">
      <c r="B78" t="s">
        <v>15</v>
      </c>
      <c r="C78" s="21" t="s">
        <v>19</v>
      </c>
      <c r="D78" s="24">
        <f>D51</f>
        <v>12126.54412470024</v>
      </c>
      <c r="E78" s="19">
        <f>($G$11-$G$6)*2%</f>
        <v>0.4066800000000001</v>
      </c>
      <c r="F78" s="1">
        <f>D78*E78</f>
        <v>4931.6229646330949</v>
      </c>
      <c r="H78" s="26">
        <f>E78*100/2</f>
        <v>20.334000000000003</v>
      </c>
      <c r="J78" s="80" t="s">
        <v>15</v>
      </c>
      <c r="K78" s="278" t="s">
        <v>108</v>
      </c>
      <c r="L78" s="83">
        <f>D78</f>
        <v>12126.54412470024</v>
      </c>
      <c r="M78" s="43">
        <f>M8*2%</f>
        <v>0.39334000000000002</v>
      </c>
      <c r="N78" s="84">
        <f>L78*M78</f>
        <v>4769.854866009593</v>
      </c>
      <c r="O78" s="78"/>
      <c r="P78" s="79">
        <f>M77*100/2</f>
        <v>22.332999999999998</v>
      </c>
    </row>
    <row r="79" spans="1:16" ht="17.25" thickBot="1" x14ac:dyDescent="0.4">
      <c r="A79" s="90"/>
      <c r="B79" s="33"/>
      <c r="E79" s="6">
        <f>SUM(E77:E78)</f>
        <v>0.8533400000000001</v>
      </c>
      <c r="F79" s="39" t="s">
        <v>24</v>
      </c>
      <c r="G79" s="40">
        <f>SUM(F77:F78)</f>
        <v>22626.952184633094</v>
      </c>
      <c r="H79" s="12">
        <f>SUM(H77:H78)</f>
        <v>42.667000000000002</v>
      </c>
      <c r="J79" s="80"/>
      <c r="K79" s="78"/>
      <c r="L79" s="78"/>
      <c r="M79" s="85">
        <f>M77+M78</f>
        <v>0.84000000000000008</v>
      </c>
      <c r="N79" s="78" t="s">
        <v>24</v>
      </c>
      <c r="O79" s="108">
        <f>SUM(N77:N78)</f>
        <v>22465.184086009591</v>
      </c>
      <c r="P79" s="63">
        <f>M78*100/2</f>
        <v>19.667000000000002</v>
      </c>
    </row>
    <row r="80" spans="1:16" ht="15.75" thickBot="1" x14ac:dyDescent="0.3">
      <c r="A80" s="33"/>
      <c r="B80" s="83"/>
      <c r="E80" s="7"/>
      <c r="F80" s="61"/>
      <c r="G80" s="62"/>
      <c r="J80" s="80"/>
      <c r="K80" s="167" t="s">
        <v>123</v>
      </c>
      <c r="L80" s="33"/>
      <c r="M80" s="78"/>
      <c r="N80" s="86"/>
      <c r="O80" s="281">
        <f>O79-G79</f>
        <v>-161.76809862350274</v>
      </c>
      <c r="P80" s="79">
        <f>SUM(P78:P79)</f>
        <v>42</v>
      </c>
    </row>
    <row r="81" spans="1:16" ht="15" x14ac:dyDescent="0.25">
      <c r="A81" s="33"/>
      <c r="B81" s="124" t="s">
        <v>121</v>
      </c>
      <c r="C81" s="55"/>
      <c r="D81" s="55"/>
      <c r="E81" s="55"/>
      <c r="F81" s="125"/>
      <c r="G81" s="217">
        <f>G31-G79</f>
        <v>-4065.8682646330926</v>
      </c>
      <c r="H81" s="218" t="s">
        <v>36</v>
      </c>
      <c r="J81" s="121"/>
      <c r="K81" s="88"/>
      <c r="L81" s="282" t="s">
        <v>84</v>
      </c>
      <c r="M81" s="283"/>
      <c r="N81" s="283"/>
      <c r="O81" s="166">
        <f>-O80*12</f>
        <v>1941.2171834820329</v>
      </c>
      <c r="P81" s="284" t="s">
        <v>71</v>
      </c>
    </row>
    <row r="82" spans="1:16" ht="15.75" thickBot="1" x14ac:dyDescent="0.3">
      <c r="G82" s="219">
        <f>G81*12</f>
        <v>-48790.419175597111</v>
      </c>
      <c r="H82" s="220" t="s">
        <v>71</v>
      </c>
      <c r="L82" s="35" t="s">
        <v>117</v>
      </c>
      <c r="M82" s="36"/>
      <c r="N82" s="36"/>
      <c r="O82" s="36"/>
      <c r="P82" s="68"/>
    </row>
    <row r="83" spans="1:16" ht="15.75" thickBot="1" x14ac:dyDescent="0.3">
      <c r="E83" s="279">
        <f>$F$18</f>
        <v>6.833333333333333</v>
      </c>
      <c r="F83" s="142" t="s">
        <v>118</v>
      </c>
      <c r="G83" s="280">
        <f>G82*E83</f>
        <v>-333401.19769991358</v>
      </c>
    </row>
    <row r="84" spans="1:16" ht="18.75" x14ac:dyDescent="0.3">
      <c r="B84" s="106" t="s">
        <v>81</v>
      </c>
    </row>
    <row r="85" spans="1:16" ht="15" x14ac:dyDescent="0.25">
      <c r="D85" s="16" t="s">
        <v>6</v>
      </c>
      <c r="E85" s="15" t="s">
        <v>8</v>
      </c>
      <c r="F85" s="33"/>
    </row>
    <row r="86" spans="1:16" ht="15" x14ac:dyDescent="0.25">
      <c r="B86" s="11" t="s">
        <v>17</v>
      </c>
      <c r="C86" s="11" t="s">
        <v>37</v>
      </c>
      <c r="D86" s="11" t="s">
        <v>7</v>
      </c>
      <c r="E86" s="23" t="s">
        <v>9</v>
      </c>
      <c r="F86" s="11" t="s">
        <v>10</v>
      </c>
      <c r="G86" s="33"/>
      <c r="H86" t="s">
        <v>32</v>
      </c>
      <c r="J86" s="227" t="s">
        <v>17</v>
      </c>
      <c r="K86" s="228" t="s">
        <v>37</v>
      </c>
      <c r="L86" s="228" t="s">
        <v>7</v>
      </c>
      <c r="M86" s="228" t="s">
        <v>31</v>
      </c>
      <c r="N86" s="228" t="s">
        <v>10</v>
      </c>
      <c r="O86" s="115"/>
      <c r="P86" s="229"/>
    </row>
    <row r="87" spans="1:16" x14ac:dyDescent="0.2">
      <c r="B87" s="21" t="s">
        <v>16</v>
      </c>
      <c r="C87" s="21" t="s">
        <v>18</v>
      </c>
      <c r="D87" s="1">
        <v>39617</v>
      </c>
      <c r="E87" s="22">
        <f>E77</f>
        <v>0.44666</v>
      </c>
      <c r="F87" s="1">
        <f>D87*E87</f>
        <v>17695.32922</v>
      </c>
      <c r="H87" s="105">
        <f>E87*100/2</f>
        <v>22.332999999999998</v>
      </c>
      <c r="J87" s="119" t="s">
        <v>16</v>
      </c>
      <c r="K87" s="82" t="s">
        <v>18</v>
      </c>
      <c r="L87" s="81">
        <v>39617</v>
      </c>
      <c r="M87" s="41">
        <f>M77</f>
        <v>0.44666</v>
      </c>
      <c r="N87" s="81">
        <f>L87*M87</f>
        <v>17695.32922</v>
      </c>
      <c r="O87" s="78"/>
      <c r="P87" s="79" t="s">
        <v>32</v>
      </c>
    </row>
    <row r="88" spans="1:16" ht="17.25" thickBot="1" x14ac:dyDescent="0.4">
      <c r="B88" t="s">
        <v>15</v>
      </c>
      <c r="C88" t="s">
        <v>33</v>
      </c>
      <c r="D88" s="24">
        <f>D63</f>
        <v>15924.12</v>
      </c>
      <c r="E88" s="19">
        <f>($G$11-$G$6)*2%</f>
        <v>0.4066800000000001</v>
      </c>
      <c r="F88" s="1">
        <f>D88*E88</f>
        <v>6476.0211216000016</v>
      </c>
      <c r="H88" s="26">
        <f>E88*100/2</f>
        <v>20.334000000000003</v>
      </c>
      <c r="J88" s="80" t="s">
        <v>15</v>
      </c>
      <c r="K88" s="278" t="s">
        <v>106</v>
      </c>
      <c r="L88" s="83">
        <f>D88</f>
        <v>15924.12</v>
      </c>
      <c r="M88" s="43">
        <f>M78</f>
        <v>0.39334000000000002</v>
      </c>
      <c r="N88" s="84">
        <f>L88*M88</f>
        <v>6263.5933608000005</v>
      </c>
      <c r="O88" s="78"/>
      <c r="P88" s="79">
        <f>M87*100/2</f>
        <v>22.332999999999998</v>
      </c>
    </row>
    <row r="89" spans="1:16" ht="17.25" thickBot="1" x14ac:dyDescent="0.4">
      <c r="A89" s="90"/>
      <c r="B89" s="33"/>
      <c r="E89" s="6">
        <f>SUM(E87:E88)</f>
        <v>0.8533400000000001</v>
      </c>
      <c r="F89" s="39" t="s">
        <v>24</v>
      </c>
      <c r="G89" s="40">
        <f>SUM(F87:F88)</f>
        <v>24171.350341600002</v>
      </c>
      <c r="H89" s="12">
        <f>SUM(H87:H88)</f>
        <v>42.667000000000002</v>
      </c>
      <c r="J89" s="80"/>
      <c r="K89" s="78"/>
      <c r="L89" s="78"/>
      <c r="M89" s="85">
        <f>M87+M88</f>
        <v>0.84000000000000008</v>
      </c>
      <c r="N89" s="78" t="s">
        <v>24</v>
      </c>
      <c r="O89" s="108">
        <f>SUM(N87:N88)</f>
        <v>23958.922580800001</v>
      </c>
      <c r="P89" s="63">
        <f>M88*100/2</f>
        <v>19.667000000000002</v>
      </c>
    </row>
    <row r="90" spans="1:16" ht="15.75" thickBot="1" x14ac:dyDescent="0.3">
      <c r="A90" s="33"/>
      <c r="J90" s="285"/>
      <c r="K90" s="167" t="s">
        <v>123</v>
      </c>
      <c r="L90" s="168"/>
      <c r="M90" s="168"/>
      <c r="N90" s="286"/>
      <c r="O90" s="287">
        <f>O89-G89</f>
        <v>-212.42776080000112</v>
      </c>
      <c r="P90" s="288">
        <f>SUM(P88:P89)</f>
        <v>42</v>
      </c>
    </row>
    <row r="91" spans="1:16" ht="15" x14ac:dyDescent="0.25">
      <c r="A91" s="33"/>
      <c r="B91" s="124" t="s">
        <v>120</v>
      </c>
      <c r="C91" s="55"/>
      <c r="D91" s="55"/>
      <c r="E91" s="55"/>
      <c r="F91" s="125"/>
      <c r="G91" s="230">
        <f>G31-G89</f>
        <v>-5610.2664216000012</v>
      </c>
      <c r="H91" s="221" t="s">
        <v>36</v>
      </c>
      <c r="J91" s="94"/>
      <c r="K91" s="33"/>
      <c r="L91" s="282" t="s">
        <v>84</v>
      </c>
      <c r="M91" s="282"/>
      <c r="N91" s="283"/>
      <c r="O91" s="166">
        <f>-O90*12</f>
        <v>2549.1331296000135</v>
      </c>
      <c r="P91" s="284" t="s">
        <v>71</v>
      </c>
    </row>
    <row r="92" spans="1:16" ht="15" thickBot="1" x14ac:dyDescent="0.25">
      <c r="G92" s="231">
        <f>G91*12</f>
        <v>-67323.197059200014</v>
      </c>
      <c r="H92" s="213" t="s">
        <v>71</v>
      </c>
      <c r="J92" s="33"/>
      <c r="K92" s="33"/>
      <c r="L92" s="35" t="s">
        <v>117</v>
      </c>
      <c r="M92" s="36"/>
      <c r="N92" s="36"/>
      <c r="O92" s="36"/>
      <c r="P92" s="68"/>
    </row>
    <row r="93" spans="1:16" ht="15.75" thickBot="1" x14ac:dyDescent="0.3">
      <c r="E93" s="279">
        <f>$F$18</f>
        <v>6.833333333333333</v>
      </c>
      <c r="F93" s="142" t="s">
        <v>118</v>
      </c>
      <c r="G93" s="280">
        <f>G92*E93</f>
        <v>-460041.84657120006</v>
      </c>
      <c r="N93" s="206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6"/>
  <sheetViews>
    <sheetView rightToLeft="1" workbookViewId="0">
      <selection activeCell="O20" sqref="O20"/>
    </sheetView>
  </sheetViews>
  <sheetFormatPr defaultRowHeight="14.25" x14ac:dyDescent="0.2"/>
  <cols>
    <col min="1" max="2" width="9.875" customWidth="1"/>
    <col min="3" max="3" width="13.125" customWidth="1"/>
    <col min="4" max="4" width="10" customWidth="1"/>
    <col min="5" max="5" width="10.75" customWidth="1"/>
    <col min="6" max="6" width="11.125" customWidth="1"/>
    <col min="7" max="7" width="10.75" customWidth="1"/>
    <col min="8" max="8" width="11.625" customWidth="1"/>
    <col min="9" max="9" width="9.875" customWidth="1"/>
    <col min="10" max="10" width="11.625" customWidth="1"/>
    <col min="11" max="11" width="7.125" customWidth="1"/>
    <col min="12" max="12" width="10" customWidth="1"/>
    <col min="13" max="13" width="9.75" customWidth="1"/>
    <col min="14" max="14" width="10.5" customWidth="1"/>
    <col min="15" max="15" width="20.25" bestFit="1" customWidth="1"/>
  </cols>
  <sheetData>
    <row r="1" spans="2:15" ht="18.75" thickBot="1" x14ac:dyDescent="0.3">
      <c r="D1" s="132" t="s">
        <v>104</v>
      </c>
    </row>
    <row r="2" spans="2:15" ht="18.75" thickBot="1" x14ac:dyDescent="0.3">
      <c r="F2" s="211" t="s">
        <v>82</v>
      </c>
    </row>
    <row r="3" spans="2:15" ht="15.75" x14ac:dyDescent="0.25">
      <c r="B3" s="27"/>
      <c r="C3" s="28"/>
      <c r="D3" s="28"/>
      <c r="E3" s="28"/>
      <c r="F3" s="29"/>
      <c r="G3" s="27"/>
      <c r="H3" s="260" t="s">
        <v>101</v>
      </c>
      <c r="I3" s="28"/>
      <c r="J3" s="29"/>
    </row>
    <row r="4" spans="2:15" ht="18" x14ac:dyDescent="0.25">
      <c r="B4" s="30"/>
      <c r="C4" s="33"/>
      <c r="D4" s="33"/>
      <c r="E4" s="33"/>
      <c r="F4" s="250"/>
      <c r="G4" s="257" t="s">
        <v>96</v>
      </c>
      <c r="H4" s="42"/>
      <c r="I4" s="42" t="s">
        <v>97</v>
      </c>
      <c r="J4" s="258"/>
    </row>
    <row r="5" spans="2:15" ht="15" x14ac:dyDescent="0.25">
      <c r="B5" s="30"/>
      <c r="C5" s="33"/>
      <c r="D5" s="33"/>
      <c r="E5" s="33"/>
      <c r="F5" s="247"/>
      <c r="G5" s="259" t="s">
        <v>98</v>
      </c>
      <c r="H5" s="241" t="s">
        <v>95</v>
      </c>
      <c r="I5" s="241" t="s">
        <v>98</v>
      </c>
      <c r="J5" s="200" t="s">
        <v>95</v>
      </c>
      <c r="K5" s="33"/>
      <c r="L5" s="61"/>
      <c r="M5" s="33"/>
    </row>
    <row r="6" spans="2:15" ht="15.75" x14ac:dyDescent="0.25">
      <c r="B6" s="30"/>
      <c r="C6" s="50" t="s">
        <v>28</v>
      </c>
      <c r="D6" s="31" t="s">
        <v>50</v>
      </c>
      <c r="E6" s="32"/>
      <c r="F6" s="251" t="s">
        <v>3</v>
      </c>
      <c r="G6" s="246" t="s">
        <v>99</v>
      </c>
      <c r="H6" s="249">
        <v>0.7</v>
      </c>
      <c r="I6" s="240" t="s">
        <v>100</v>
      </c>
      <c r="J6" s="248">
        <f>H6</f>
        <v>0.7</v>
      </c>
      <c r="K6" s="33"/>
      <c r="L6" s="42"/>
      <c r="M6" s="15"/>
      <c r="N6" s="17"/>
      <c r="O6" s="18"/>
    </row>
    <row r="7" spans="2:15" x14ac:dyDescent="0.2">
      <c r="B7" s="30" t="s">
        <v>11</v>
      </c>
      <c r="C7" s="136">
        <f>F7*12</f>
        <v>267.99599999999998</v>
      </c>
      <c r="D7" s="76" t="s">
        <v>1</v>
      </c>
      <c r="E7" s="76" t="s">
        <v>2</v>
      </c>
      <c r="F7" s="252">
        <v>22.332999999999998</v>
      </c>
      <c r="G7" s="53"/>
      <c r="H7" s="242"/>
      <c r="I7" s="33"/>
      <c r="J7" s="144" t="s">
        <v>0</v>
      </c>
      <c r="K7" s="33"/>
      <c r="L7" s="41"/>
      <c r="M7" s="19"/>
      <c r="N7" s="13"/>
    </row>
    <row r="8" spans="2:15" x14ac:dyDescent="0.2">
      <c r="B8" s="30" t="s">
        <v>74</v>
      </c>
      <c r="C8" s="137">
        <v>20</v>
      </c>
      <c r="D8" s="76" t="s">
        <v>42</v>
      </c>
      <c r="E8" s="76" t="s">
        <v>43</v>
      </c>
      <c r="F8" s="253">
        <v>1.667</v>
      </c>
      <c r="G8" s="30"/>
      <c r="H8" s="422"/>
      <c r="I8" s="33"/>
      <c r="J8" s="144"/>
      <c r="K8" s="33"/>
      <c r="L8" s="41"/>
      <c r="M8" s="19"/>
      <c r="N8" s="13"/>
    </row>
    <row r="9" spans="2:15" ht="15" x14ac:dyDescent="0.25">
      <c r="B9" s="140" t="s">
        <v>102</v>
      </c>
      <c r="C9" s="139">
        <f>SUM(C7:C8)</f>
        <v>287.99599999999998</v>
      </c>
      <c r="D9" s="33"/>
      <c r="E9" s="134" t="s">
        <v>49</v>
      </c>
      <c r="F9" s="333">
        <f>SUM(F7:F8)</f>
        <v>24</v>
      </c>
      <c r="G9" s="53">
        <f>F9/F13</f>
        <v>0.54134524292867769</v>
      </c>
      <c r="H9" s="243">
        <f>$H$6*G9</f>
        <v>0.37894167005007434</v>
      </c>
      <c r="I9" s="41">
        <f>F9/F11</f>
        <v>0.54961412508301466</v>
      </c>
      <c r="J9" s="71">
        <f>$J$6*I9</f>
        <v>0.38472988755811022</v>
      </c>
      <c r="K9" s="33"/>
      <c r="L9" s="41"/>
      <c r="M9" s="19"/>
      <c r="N9" s="13" t="s">
        <v>0</v>
      </c>
    </row>
    <row r="10" spans="2:15" ht="15" x14ac:dyDescent="0.25">
      <c r="B10" s="261" t="s">
        <v>12</v>
      </c>
      <c r="C10" s="138">
        <f>F10*12</f>
        <v>236.00400000000002</v>
      </c>
      <c r="D10" s="77" t="s">
        <v>4</v>
      </c>
      <c r="E10" s="77" t="s">
        <v>5</v>
      </c>
      <c r="F10" s="254">
        <f>'חישוב עד 31.7.2012'!G8</f>
        <v>19.667000000000002</v>
      </c>
      <c r="G10" s="53">
        <f>F10/F13</f>
        <v>0.44360987052826273</v>
      </c>
      <c r="H10" s="243">
        <f>$H$6*G10</f>
        <v>0.31052690936978389</v>
      </c>
      <c r="I10" s="43">
        <f>F10/F11</f>
        <v>0.4503858749169854</v>
      </c>
      <c r="J10" s="71">
        <f>$J$6*I10</f>
        <v>0.31527011244188974</v>
      </c>
      <c r="K10" s="33"/>
      <c r="L10" s="67"/>
      <c r="M10" s="19"/>
      <c r="N10" s="13"/>
    </row>
    <row r="11" spans="2:15" ht="15.75" thickBot="1" x14ac:dyDescent="0.3">
      <c r="B11" s="262" t="s">
        <v>89</v>
      </c>
      <c r="C11" s="263">
        <f>SUM(C9:C10)</f>
        <v>524</v>
      </c>
      <c r="D11" s="36"/>
      <c r="E11" s="37" t="s">
        <v>48</v>
      </c>
      <c r="F11" s="255">
        <f>SUM(F9:F10)</f>
        <v>43.667000000000002</v>
      </c>
      <c r="G11" s="30"/>
      <c r="H11" s="33"/>
      <c r="I11" s="235">
        <f>SUM(I9:I10)</f>
        <v>1</v>
      </c>
      <c r="J11" s="236">
        <f>SUM(J9:J10)</f>
        <v>0.7</v>
      </c>
      <c r="K11" s="33"/>
      <c r="L11" s="235"/>
      <c r="M11" s="19"/>
      <c r="N11" s="13"/>
    </row>
    <row r="12" spans="2:15" ht="14.25" customHeight="1" x14ac:dyDescent="0.25">
      <c r="B12" s="27" t="s">
        <v>22</v>
      </c>
      <c r="C12" s="233">
        <f>F12*12</f>
        <v>8.0040000000000013</v>
      </c>
      <c r="D12" s="234" t="s">
        <v>13</v>
      </c>
      <c r="E12" s="234" t="s">
        <v>14</v>
      </c>
      <c r="F12" s="256">
        <v>0.66700000000000004</v>
      </c>
      <c r="G12" s="46">
        <f>F12/F13</f>
        <v>1.5044886543059502E-2</v>
      </c>
      <c r="H12" s="244">
        <f>$H$6*G12</f>
        <v>1.0531420580141651E-2</v>
      </c>
      <c r="I12" s="33"/>
      <c r="J12" s="70"/>
      <c r="K12" s="33"/>
      <c r="L12" s="11"/>
      <c r="M12" s="19"/>
      <c r="N12" s="13"/>
    </row>
    <row r="13" spans="2:15" ht="15.75" thickBot="1" x14ac:dyDescent="0.3">
      <c r="B13" s="262" t="s">
        <v>88</v>
      </c>
      <c r="C13" s="263">
        <f>SUM(C11:C12)</f>
        <v>532.00400000000002</v>
      </c>
      <c r="D13" s="36"/>
      <c r="E13" s="36" t="s">
        <v>0</v>
      </c>
      <c r="F13" s="255">
        <f>SUM(F11:F12)</f>
        <v>44.334000000000003</v>
      </c>
      <c r="G13" s="264">
        <f>SUM(G7:G12)</f>
        <v>0.99999999999999989</v>
      </c>
      <c r="H13" s="265">
        <f>SUM(H9:H12)</f>
        <v>0.7</v>
      </c>
      <c r="I13" s="36"/>
      <c r="J13" s="68"/>
      <c r="K13" s="33"/>
      <c r="L13" s="11"/>
      <c r="M13" s="19"/>
      <c r="N13" s="13"/>
    </row>
    <row r="14" spans="2:15" ht="15.75" thickBot="1" x14ac:dyDescent="0.3">
      <c r="B14" s="33"/>
      <c r="I14" s="33"/>
      <c r="J14" s="33"/>
      <c r="K14" s="33"/>
      <c r="L14" s="11"/>
      <c r="M14" s="19"/>
      <c r="N14" s="13"/>
    </row>
    <row r="15" spans="2:15" ht="15" x14ac:dyDescent="0.25">
      <c r="B15" s="89" t="s">
        <v>25</v>
      </c>
      <c r="C15" s="92" t="s">
        <v>0</v>
      </c>
      <c r="D15" s="95"/>
      <c r="F15" s="89" t="s">
        <v>34</v>
      </c>
      <c r="G15" s="92"/>
      <c r="I15" s="268" t="s">
        <v>90</v>
      </c>
      <c r="J15" s="29"/>
      <c r="K15" s="33"/>
      <c r="L15" s="11"/>
      <c r="M15" s="19"/>
      <c r="N15" s="13"/>
    </row>
    <row r="16" spans="2:15" ht="15" x14ac:dyDescent="0.25">
      <c r="B16" s="48" t="s">
        <v>27</v>
      </c>
      <c r="C16" s="79">
        <v>8106.7</v>
      </c>
      <c r="D16" s="51">
        <f>C16/$C$18</f>
        <v>0.66850867952458726</v>
      </c>
      <c r="F16" s="48" t="s">
        <v>27</v>
      </c>
      <c r="G16" s="98">
        <f>C38*D16</f>
        <v>10645.412433791071</v>
      </c>
      <c r="I16" s="30"/>
      <c r="J16" s="247"/>
      <c r="K16" s="33"/>
      <c r="L16" s="11"/>
      <c r="M16" s="19"/>
      <c r="N16" s="13"/>
    </row>
    <row r="17" spans="1:17" ht="13.5" customHeight="1" x14ac:dyDescent="0.35">
      <c r="B17" s="48" t="s">
        <v>26</v>
      </c>
      <c r="C17" s="63">
        <f>1341.02/'חישוב עד 31.7.2012'!E30</f>
        <v>4019.8441247002397</v>
      </c>
      <c r="D17" s="49">
        <f>C17/$C$18</f>
        <v>0.33149132047541263</v>
      </c>
      <c r="F17" s="48" t="s">
        <v>26</v>
      </c>
      <c r="G17" s="63">
        <f>C38*D17</f>
        <v>5278.7075662089283</v>
      </c>
      <c r="I17" s="291">
        <f>I18/12</f>
        <v>6.833333333333333</v>
      </c>
      <c r="J17" s="247" t="s">
        <v>3</v>
      </c>
      <c r="K17" s="33"/>
      <c r="L17" s="11"/>
      <c r="M17" s="19"/>
      <c r="N17" s="13"/>
    </row>
    <row r="18" spans="1:17" ht="18.75" thickBot="1" x14ac:dyDescent="0.3">
      <c r="B18" s="93" t="s">
        <v>30</v>
      </c>
      <c r="C18" s="97">
        <f>SUM(C16:C17)</f>
        <v>12126.54412470024</v>
      </c>
      <c r="D18" s="96">
        <f>SUM(D16:D17)</f>
        <v>0.99999999999999989</v>
      </c>
      <c r="F18" s="93" t="s">
        <v>35</v>
      </c>
      <c r="G18" s="97">
        <f>SUM(G16:G17)</f>
        <v>15924.119999999999</v>
      </c>
      <c r="I18" s="269">
        <f>(12*6)+10</f>
        <v>82</v>
      </c>
      <c r="J18" s="68" t="s">
        <v>28</v>
      </c>
      <c r="K18" s="343" t="s">
        <v>190</v>
      </c>
      <c r="L18" s="33"/>
      <c r="M18" s="132"/>
      <c r="O18" s="315">
        <f>G28/F13</f>
        <v>0.42737139672720065</v>
      </c>
      <c r="Q18" s="33"/>
    </row>
    <row r="19" spans="1:17" x14ac:dyDescent="0.2">
      <c r="B19" s="33"/>
      <c r="D19" s="123" t="s">
        <v>0</v>
      </c>
      <c r="E19" s="208"/>
      <c r="I19" s="67"/>
      <c r="J19" s="33"/>
      <c r="K19" s="343" t="s">
        <v>191</v>
      </c>
      <c r="O19" s="315">
        <f>F9/F13</f>
        <v>0.54134524292867769</v>
      </c>
      <c r="Q19" s="33"/>
    </row>
    <row r="20" spans="1:17" x14ac:dyDescent="0.2">
      <c r="B20" s="33"/>
      <c r="C20" s="91"/>
      <c r="D20" s="123"/>
      <c r="E20" s="208"/>
      <c r="F20" s="141"/>
      <c r="G20" s="232"/>
      <c r="H20" s="123"/>
      <c r="I20" s="67"/>
      <c r="J20" s="33"/>
      <c r="K20" s="343" t="s">
        <v>171</v>
      </c>
      <c r="O20" s="315">
        <f>O18/O19</f>
        <v>0.78946181260432147</v>
      </c>
      <c r="Q20" s="33"/>
    </row>
    <row r="21" spans="1:17" ht="18" x14ac:dyDescent="0.25">
      <c r="B21" s="33"/>
      <c r="D21" s="132" t="s">
        <v>127</v>
      </c>
      <c r="E21" s="34"/>
      <c r="F21" s="44"/>
      <c r="G21" s="52"/>
      <c r="H21" s="33"/>
      <c r="I21" s="67"/>
      <c r="J21" s="33"/>
      <c r="K21" s="34"/>
      <c r="L21" s="44"/>
      <c r="M21" s="52"/>
      <c r="O21" s="315">
        <v>0.02</v>
      </c>
      <c r="Q21" s="33"/>
    </row>
    <row r="22" spans="1:17" ht="15.75" x14ac:dyDescent="0.25">
      <c r="D22" s="302" t="s">
        <v>164</v>
      </c>
      <c r="F22" s="335">
        <f>+F13</f>
        <v>44.334000000000003</v>
      </c>
      <c r="G22" s="336" t="s">
        <v>163</v>
      </c>
      <c r="H22" s="337">
        <f>J6</f>
        <v>0.7</v>
      </c>
      <c r="I22" s="67"/>
      <c r="J22" s="33"/>
      <c r="K22" s="33"/>
      <c r="O22" s="315">
        <f>O20*O21</f>
        <v>1.578923625208643E-2</v>
      </c>
      <c r="Q22" s="33"/>
    </row>
    <row r="23" spans="1:17" ht="15.75" x14ac:dyDescent="0.25">
      <c r="C23" s="302"/>
      <c r="G23" s="33"/>
      <c r="H23" s="33"/>
      <c r="I23" s="33"/>
      <c r="J23" s="33"/>
      <c r="K23" s="33"/>
      <c r="L23" s="78"/>
      <c r="M23" s="78"/>
      <c r="N23" s="78"/>
      <c r="O23" s="78"/>
      <c r="P23" s="33"/>
      <c r="Q23" s="33"/>
    </row>
    <row r="24" spans="1:17" ht="8.25" customHeight="1" x14ac:dyDescent="0.25">
      <c r="B24" s="301"/>
      <c r="G24" s="33"/>
      <c r="H24" s="33"/>
      <c r="I24" s="33"/>
      <c r="J24" s="33"/>
      <c r="K24" s="33"/>
      <c r="L24" s="78"/>
      <c r="M24" s="78"/>
      <c r="N24" s="78"/>
      <c r="O24" s="78"/>
      <c r="P24" s="33"/>
      <c r="Q24" s="33"/>
    </row>
    <row r="25" spans="1:17" ht="15.75" x14ac:dyDescent="0.25">
      <c r="A25" s="106"/>
      <c r="F25" s="18" t="s">
        <v>129</v>
      </c>
      <c r="G25" s="33"/>
      <c r="H25" s="33"/>
      <c r="I25" s="33"/>
      <c r="J25" s="33"/>
      <c r="K25" s="33"/>
      <c r="L25" s="78" t="s">
        <v>133</v>
      </c>
      <c r="N25" s="78"/>
      <c r="O25" s="78"/>
      <c r="P25" s="33"/>
      <c r="Q25" s="33"/>
    </row>
    <row r="26" spans="1:17" ht="15" x14ac:dyDescent="0.25">
      <c r="B26" s="16" t="s">
        <v>138</v>
      </c>
      <c r="C26" s="16" t="s">
        <v>6</v>
      </c>
      <c r="D26" s="15" t="s">
        <v>8</v>
      </c>
      <c r="E26" s="33"/>
      <c r="F26" s="33"/>
      <c r="H26" s="13"/>
      <c r="J26" s="78"/>
      <c r="K26" s="33"/>
      <c r="L26" s="9" t="str">
        <f>F25</f>
        <v>בדרגה 44+</v>
      </c>
      <c r="M26" s="312" t="s">
        <v>131</v>
      </c>
      <c r="N26" s="313">
        <f>P32</f>
        <v>-159.12073800129656</v>
      </c>
      <c r="O26" t="s">
        <v>132</v>
      </c>
      <c r="P26" s="78"/>
      <c r="Q26" s="33"/>
    </row>
    <row r="27" spans="1:17" ht="15" x14ac:dyDescent="0.25">
      <c r="A27" s="11" t="s">
        <v>17</v>
      </c>
      <c r="B27" s="11" t="s">
        <v>37</v>
      </c>
      <c r="C27" s="11" t="s">
        <v>7</v>
      </c>
      <c r="D27" s="23" t="s">
        <v>31</v>
      </c>
      <c r="E27" s="11" t="s">
        <v>10</v>
      </c>
      <c r="G27" t="s">
        <v>32</v>
      </c>
      <c r="H27" s="411"/>
      <c r="J27" s="78"/>
      <c r="K27" s="122"/>
      <c r="L27" s="115"/>
      <c r="M27" s="116" t="s">
        <v>6</v>
      </c>
      <c r="N27" s="117" t="s">
        <v>8</v>
      </c>
      <c r="O27" s="115"/>
      <c r="P27" s="115"/>
      <c r="Q27" s="92"/>
    </row>
    <row r="28" spans="1:17" x14ac:dyDescent="0.2">
      <c r="A28" s="21" t="s">
        <v>16</v>
      </c>
      <c r="B28" s="21" t="s">
        <v>18</v>
      </c>
      <c r="C28" s="1">
        <v>39617</v>
      </c>
      <c r="D28" s="22">
        <f>+H9</f>
        <v>0.37894167005007434</v>
      </c>
      <c r="E28" s="1">
        <f>C28*D28</f>
        <v>15012.532142373795</v>
      </c>
      <c r="G28" s="2">
        <f>D28*100/2</f>
        <v>18.947083502503716</v>
      </c>
      <c r="H28" s="412">
        <f>G28/F7</f>
        <v>0.84838953577681986</v>
      </c>
      <c r="J28" s="78"/>
      <c r="K28" s="120" t="s">
        <v>17</v>
      </c>
      <c r="L28" s="112" t="s">
        <v>37</v>
      </c>
      <c r="M28" s="112" t="s">
        <v>7</v>
      </c>
      <c r="N28" s="112" t="s">
        <v>31</v>
      </c>
      <c r="O28" s="112" t="s">
        <v>10</v>
      </c>
      <c r="P28" s="82"/>
      <c r="Q28" s="79" t="s">
        <v>32</v>
      </c>
    </row>
    <row r="29" spans="1:17" ht="17.25" thickBot="1" x14ac:dyDescent="0.4">
      <c r="A29" t="s">
        <v>15</v>
      </c>
      <c r="B29" s="10" t="s">
        <v>19</v>
      </c>
      <c r="C29" s="24">
        <f>SUM($C$16:$C$17)</f>
        <v>12126.54412470024</v>
      </c>
      <c r="D29" s="19">
        <f>H10+H12</f>
        <v>0.32105832994992556</v>
      </c>
      <c r="E29" s="5">
        <f>C29*D29</f>
        <v>3893.3280047403409</v>
      </c>
      <c r="G29" s="26">
        <f>D29*100/2</f>
        <v>16.052916497496277</v>
      </c>
      <c r="H29" s="421">
        <f>G29/20.33</f>
        <v>0.78961714203129751</v>
      </c>
      <c r="I29" s="237">
        <v>18906.095125104795</v>
      </c>
      <c r="J29" s="118" t="s">
        <v>0</v>
      </c>
      <c r="K29" s="119" t="s">
        <v>16</v>
      </c>
      <c r="L29" s="82" t="s">
        <v>18</v>
      </c>
      <c r="M29" s="81">
        <v>39617</v>
      </c>
      <c r="N29" s="41">
        <f>J9</f>
        <v>0.38472988755811022</v>
      </c>
      <c r="O29" s="81">
        <f>M29*N29</f>
        <v>15241.843955389653</v>
      </c>
      <c r="P29" s="78"/>
      <c r="Q29" s="79">
        <f>N29*100/2</f>
        <v>19.236494377905512</v>
      </c>
    </row>
    <row r="30" spans="1:17" ht="17.25" thickBot="1" x14ac:dyDescent="0.4">
      <c r="B30" t="s">
        <v>0</v>
      </c>
      <c r="D30" s="7">
        <f>SUM(D28:D29)</f>
        <v>0.7</v>
      </c>
      <c r="E30" s="39" t="s">
        <v>24</v>
      </c>
      <c r="F30" s="40">
        <f>SUM(E28:E29)</f>
        <v>18905.860147114137</v>
      </c>
      <c r="G30" s="303">
        <f>SUM(G28:G29)</f>
        <v>34.999999999999993</v>
      </c>
      <c r="H30" s="412">
        <f>SUM(H28:H29)/100</f>
        <v>1.6380066778081175E-2</v>
      </c>
      <c r="I30" s="237">
        <v>18561.083920000001</v>
      </c>
      <c r="J30" s="78"/>
      <c r="K30" s="80" t="s">
        <v>15</v>
      </c>
      <c r="L30" s="82" t="s">
        <v>19</v>
      </c>
      <c r="M30" s="83">
        <f>C18</f>
        <v>12126.54412470024</v>
      </c>
      <c r="N30" s="43">
        <f>J11-N29</f>
        <v>0.31527011244188974</v>
      </c>
      <c r="O30" s="84">
        <f>M30*N30</f>
        <v>3823.136929725782</v>
      </c>
      <c r="P30" s="78"/>
      <c r="Q30" s="63">
        <f>N30*100/2</f>
        <v>15.763505622094486</v>
      </c>
    </row>
    <row r="31" spans="1:17" ht="17.25" thickBot="1" x14ac:dyDescent="0.4">
      <c r="C31" s="150" t="s">
        <v>91</v>
      </c>
      <c r="D31" s="146"/>
      <c r="E31" s="147">
        <f>'חישוב עד 31.7.2012'!G31</f>
        <v>18561.083920000001</v>
      </c>
      <c r="G31" s="421">
        <f>G30/F22</f>
        <v>0.78946181260432158</v>
      </c>
      <c r="H31" s="411">
        <f>G30/F22</f>
        <v>0.78946181260432158</v>
      </c>
      <c r="I31" s="237">
        <v>345.0112051047945</v>
      </c>
      <c r="J31" s="78"/>
      <c r="K31" s="80"/>
      <c r="L31" s="78"/>
      <c r="M31" s="78"/>
      <c r="N31" s="85">
        <f>SUM(N29:N30)</f>
        <v>0.7</v>
      </c>
      <c r="O31" s="78" t="s">
        <v>24</v>
      </c>
      <c r="P31" s="108">
        <f>SUM(O29:O30)</f>
        <v>19064.980885115434</v>
      </c>
      <c r="Q31" s="79">
        <f>SUM(Q29:Q30)</f>
        <v>35</v>
      </c>
    </row>
    <row r="32" spans="1:17" ht="17.25" thickBot="1" x14ac:dyDescent="0.4">
      <c r="C32" s="148" t="s">
        <v>125</v>
      </c>
      <c r="E32" s="149">
        <f>F30-E31</f>
        <v>344.77622711413642</v>
      </c>
      <c r="G32" s="12" t="s">
        <v>61</v>
      </c>
      <c r="H32" s="411">
        <f>G31*2</f>
        <v>1.5789236252086432</v>
      </c>
      <c r="I32" s="14"/>
      <c r="J32" s="78"/>
      <c r="K32" s="80"/>
      <c r="L32" s="78"/>
      <c r="M32" s="86" t="s">
        <v>134</v>
      </c>
      <c r="P32" s="107">
        <f>F30-P31</f>
        <v>-159.12073800129656</v>
      </c>
    </row>
    <row r="33" spans="1:17" ht="15" x14ac:dyDescent="0.25">
      <c r="D33" s="7"/>
      <c r="E33" s="61"/>
      <c r="F33" s="62"/>
      <c r="G33" s="12"/>
      <c r="I33" s="14">
        <f>G30*H28/100</f>
        <v>0.29693633752188686</v>
      </c>
      <c r="J33" s="78"/>
      <c r="K33" s="121" t="s">
        <v>135</v>
      </c>
      <c r="L33" s="88"/>
      <c r="M33" s="88"/>
      <c r="N33" s="88"/>
      <c r="O33" s="88"/>
      <c r="P33" s="109"/>
      <c r="Q33" s="114"/>
    </row>
    <row r="34" spans="1:17" ht="18" customHeight="1" x14ac:dyDescent="0.35">
      <c r="A34" s="81"/>
      <c r="E34" s="61"/>
      <c r="F34" s="18" t="s">
        <v>130</v>
      </c>
      <c r="G34" s="12"/>
      <c r="I34" s="14">
        <f>G30/100*H29</f>
        <v>0.27636599971095405</v>
      </c>
      <c r="L34" s="8"/>
      <c r="M34" s="5"/>
      <c r="N34" s="14"/>
      <c r="O34" s="20"/>
    </row>
    <row r="35" spans="1:17" ht="15" x14ac:dyDescent="0.25">
      <c r="B35" s="16" t="s">
        <v>138</v>
      </c>
      <c r="C35" s="16" t="s">
        <v>6</v>
      </c>
      <c r="D35" s="15" t="s">
        <v>8</v>
      </c>
      <c r="E35" s="33"/>
      <c r="L35" s="9" t="str">
        <f>F34</f>
        <v>בדרגה 46+</v>
      </c>
      <c r="M35" s="312" t="s">
        <v>131</v>
      </c>
      <c r="N35" s="313">
        <f>P41</f>
        <v>-137.13954283179191</v>
      </c>
      <c r="O35" t="s">
        <v>132</v>
      </c>
      <c r="P35" s="78"/>
    </row>
    <row r="36" spans="1:17" ht="15" x14ac:dyDescent="0.25">
      <c r="A36" s="11" t="s">
        <v>17</v>
      </c>
      <c r="B36" s="11" t="s">
        <v>37</v>
      </c>
      <c r="C36" s="11" t="s">
        <v>7</v>
      </c>
      <c r="D36" s="23" t="s">
        <v>9</v>
      </c>
      <c r="E36" s="11" t="s">
        <v>10</v>
      </c>
      <c r="F36" s="33"/>
      <c r="G36" t="s">
        <v>32</v>
      </c>
      <c r="J36" s="78"/>
      <c r="K36" s="122"/>
      <c r="L36" s="115"/>
      <c r="M36" s="116" t="s">
        <v>6</v>
      </c>
      <c r="N36" s="117" t="s">
        <v>8</v>
      </c>
      <c r="O36" s="115"/>
      <c r="P36" s="115"/>
      <c r="Q36" s="92"/>
    </row>
    <row r="37" spans="1:17" x14ac:dyDescent="0.2">
      <c r="A37" s="21" t="s">
        <v>16</v>
      </c>
      <c r="B37" s="21" t="s">
        <v>18</v>
      </c>
      <c r="C37" s="1">
        <v>39617</v>
      </c>
      <c r="D37" s="22">
        <f>+D28</f>
        <v>0.37894167005007434</v>
      </c>
      <c r="E37" s="1">
        <f>C37*D37</f>
        <v>15012.532142373795</v>
      </c>
      <c r="G37" s="105">
        <f>D37*100/2</f>
        <v>18.947083502503716</v>
      </c>
      <c r="J37" s="78"/>
      <c r="K37" s="120" t="s">
        <v>17</v>
      </c>
      <c r="L37" s="112" t="s">
        <v>37</v>
      </c>
      <c r="M37" s="112" t="s">
        <v>7</v>
      </c>
      <c r="N37" s="112" t="s">
        <v>31</v>
      </c>
      <c r="O37" s="112" t="s">
        <v>10</v>
      </c>
      <c r="P37" s="82"/>
      <c r="Q37" s="79" t="s">
        <v>32</v>
      </c>
    </row>
    <row r="38" spans="1:17" ht="15" thickBot="1" x14ac:dyDescent="0.25">
      <c r="A38" t="s">
        <v>15</v>
      </c>
      <c r="B38" t="s">
        <v>33</v>
      </c>
      <c r="C38" s="24">
        <v>15924.12</v>
      </c>
      <c r="D38" s="19">
        <f>D29</f>
        <v>0.32105832994992556</v>
      </c>
      <c r="E38" s="1">
        <f>C38*D38</f>
        <v>5112.5713731222086</v>
      </c>
      <c r="G38" s="26">
        <f>D38*100/2</f>
        <v>16.052916497496277</v>
      </c>
      <c r="J38" s="118" t="s">
        <v>0</v>
      </c>
      <c r="K38" s="119" t="s">
        <v>16</v>
      </c>
      <c r="L38" s="82" t="s">
        <v>18</v>
      </c>
      <c r="M38" s="81">
        <v>39617</v>
      </c>
      <c r="N38" s="41">
        <f>J9</f>
        <v>0.38472988755811022</v>
      </c>
      <c r="O38" s="81">
        <f>M38*N38</f>
        <v>15241.843955389653</v>
      </c>
      <c r="P38" s="78"/>
      <c r="Q38" s="79">
        <f>N38*100/2</f>
        <v>19.236494377905512</v>
      </c>
    </row>
    <row r="39" spans="1:17" ht="17.25" thickBot="1" x14ac:dyDescent="0.4">
      <c r="D39" s="7">
        <v>0.7</v>
      </c>
      <c r="E39" s="39" t="s">
        <v>24</v>
      </c>
      <c r="F39" s="40">
        <f>SUM(E37:E38)</f>
        <v>20125.103515496005</v>
      </c>
      <c r="G39" s="12">
        <f>SUM(G37:G38)</f>
        <v>34.999999999999993</v>
      </c>
      <c r="H39" t="s">
        <v>0</v>
      </c>
      <c r="J39" s="78"/>
      <c r="K39" s="80" t="s">
        <v>15</v>
      </c>
      <c r="L39" s="82" t="s">
        <v>19</v>
      </c>
      <c r="M39" s="83">
        <f>G18</f>
        <v>15924.119999999999</v>
      </c>
      <c r="N39" s="43">
        <f>J10</f>
        <v>0.31527011244188974</v>
      </c>
      <c r="O39" s="84">
        <f>M39*N39</f>
        <v>5020.399102938145</v>
      </c>
      <c r="P39" s="78"/>
      <c r="Q39" s="63">
        <f>N39*100/2</f>
        <v>15.763505622094486</v>
      </c>
    </row>
    <row r="40" spans="1:17" ht="17.25" thickBot="1" x14ac:dyDescent="0.4">
      <c r="C40" s="145" t="s">
        <v>51</v>
      </c>
      <c r="D40" s="146"/>
      <c r="E40" s="147">
        <f>'חישוב עד 31.7.2012'!G40</f>
        <v>19827.955232</v>
      </c>
      <c r="G40" t="s">
        <v>0</v>
      </c>
      <c r="H40" s="310" t="s">
        <v>124</v>
      </c>
      <c r="J40" s="78"/>
      <c r="K40" s="80"/>
      <c r="L40" s="78"/>
      <c r="M40" s="78"/>
      <c r="N40" s="85">
        <f>SUM(N38:N39)</f>
        <v>0.7</v>
      </c>
      <c r="O40" s="78" t="s">
        <v>24</v>
      </c>
      <c r="P40" s="108">
        <f>SUM(O38:O39)</f>
        <v>20262.243058327796</v>
      </c>
      <c r="Q40" s="79">
        <f>SUM(Q38:Q39)</f>
        <v>35</v>
      </c>
    </row>
    <row r="41" spans="1:17" ht="17.25" thickBot="1" x14ac:dyDescent="0.4">
      <c r="C41" s="148" t="s">
        <v>125</v>
      </c>
      <c r="E41" s="149">
        <f>F39-E40</f>
        <v>297.1482834960043</v>
      </c>
      <c r="G41" t="s">
        <v>61</v>
      </c>
      <c r="H41" s="311">
        <f>I17</f>
        <v>6.833333333333333</v>
      </c>
      <c r="J41" s="78"/>
      <c r="K41" s="80"/>
      <c r="L41" s="78"/>
      <c r="M41" s="78"/>
      <c r="N41" s="78"/>
      <c r="O41" s="86" t="s">
        <v>23</v>
      </c>
      <c r="P41" s="107">
        <f>F39-P40</f>
        <v>-137.13954283179191</v>
      </c>
    </row>
    <row r="42" spans="1:17" ht="15" x14ac:dyDescent="0.25">
      <c r="B42" s="299" t="s">
        <v>161</v>
      </c>
      <c r="C42" s="300"/>
      <c r="D42" s="300"/>
      <c r="E42" s="300"/>
      <c r="F42" s="295">
        <f>F30-F39</f>
        <v>-1219.2433683818672</v>
      </c>
      <c r="G42" s="54" t="s">
        <v>36</v>
      </c>
      <c r="H42" s="245"/>
      <c r="J42" s="78"/>
      <c r="K42" s="121" t="s">
        <v>38</v>
      </c>
      <c r="L42" s="88"/>
      <c r="M42" s="88"/>
      <c r="N42" s="88"/>
      <c r="O42" s="88"/>
      <c r="P42" s="109"/>
      <c r="Q42" s="114"/>
    </row>
    <row r="43" spans="1:17" ht="13.5" customHeight="1" thickBot="1" x14ac:dyDescent="0.3">
      <c r="B43" s="262"/>
      <c r="C43" s="294"/>
      <c r="D43" s="294"/>
      <c r="E43" s="294"/>
      <c r="F43" s="296">
        <f>F42*12</f>
        <v>-14630.920420582406</v>
      </c>
      <c r="G43" s="297" t="s">
        <v>71</v>
      </c>
      <c r="H43" s="298">
        <f>$I$18*F42</f>
        <v>-99977.956207313109</v>
      </c>
    </row>
    <row r="46" spans="1:17" ht="18.75" x14ac:dyDescent="0.3">
      <c r="B46" s="106" t="s">
        <v>162</v>
      </c>
    </row>
    <row r="47" spans="1:17" ht="15.75" x14ac:dyDescent="0.25">
      <c r="A47" s="106"/>
      <c r="B47" s="130">
        <v>0.02</v>
      </c>
      <c r="C47" t="s">
        <v>160</v>
      </c>
    </row>
    <row r="48" spans="1:17" ht="15.75" x14ac:dyDescent="0.25">
      <c r="A48" s="106"/>
      <c r="B48" s="130"/>
      <c r="F48" s="18" t="s">
        <v>129</v>
      </c>
    </row>
    <row r="49" spans="1:17" ht="15" x14ac:dyDescent="0.25">
      <c r="B49" s="16" t="s">
        <v>138</v>
      </c>
      <c r="C49" s="16" t="s">
        <v>6</v>
      </c>
      <c r="D49" s="15" t="s">
        <v>8</v>
      </c>
      <c r="E49" s="33"/>
    </row>
    <row r="50" spans="1:17" ht="15" x14ac:dyDescent="0.25">
      <c r="A50" s="11" t="s">
        <v>17</v>
      </c>
      <c r="B50" s="11" t="s">
        <v>37</v>
      </c>
      <c r="C50" s="11" t="s">
        <v>7</v>
      </c>
      <c r="D50" s="23" t="s">
        <v>9</v>
      </c>
      <c r="E50" s="11" t="s">
        <v>10</v>
      </c>
      <c r="F50" s="33"/>
      <c r="G50" t="s">
        <v>32</v>
      </c>
      <c r="J50" s="78"/>
      <c r="K50" s="82"/>
      <c r="L50" s="82"/>
      <c r="M50" s="110"/>
      <c r="N50" s="111"/>
      <c r="O50" s="82"/>
      <c r="P50" s="82"/>
      <c r="Q50" s="33"/>
    </row>
    <row r="51" spans="1:17" x14ac:dyDescent="0.2">
      <c r="A51" s="21" t="s">
        <v>16</v>
      </c>
      <c r="B51" s="21" t="s">
        <v>18</v>
      </c>
      <c r="C51" s="1">
        <v>39617</v>
      </c>
      <c r="D51" s="22">
        <f>F9*2%</f>
        <v>0.48</v>
      </c>
      <c r="E51" s="1">
        <f>C51*D51</f>
        <v>19016.16</v>
      </c>
      <c r="G51" s="105">
        <f>D51*100/2</f>
        <v>24</v>
      </c>
      <c r="K51" s="33"/>
      <c r="L51" s="33"/>
      <c r="M51" s="33" t="s">
        <v>137</v>
      </c>
      <c r="N51" s="33"/>
      <c r="O51" s="33"/>
      <c r="P51" s="33"/>
      <c r="Q51" s="33"/>
    </row>
    <row r="52" spans="1:17" ht="15" thickBot="1" x14ac:dyDescent="0.25">
      <c r="A52" t="s">
        <v>15</v>
      </c>
      <c r="B52" t="s">
        <v>19</v>
      </c>
      <c r="C52" s="24">
        <f>C29</f>
        <v>12126.54412470024</v>
      </c>
      <c r="D52" s="19">
        <f>70%-D51</f>
        <v>0.21999999999999997</v>
      </c>
      <c r="E52" s="1">
        <f>C52*D52</f>
        <v>2667.8397074340523</v>
      </c>
      <c r="G52" s="26">
        <f>D52*100/2</f>
        <v>10.999999999999998</v>
      </c>
      <c r="K52" s="33"/>
      <c r="L52" s="33"/>
      <c r="M52" s="33" t="s">
        <v>136</v>
      </c>
      <c r="N52" s="33"/>
      <c r="O52" s="33"/>
      <c r="P52" s="33"/>
      <c r="Q52" s="33"/>
    </row>
    <row r="53" spans="1:17" ht="15.75" thickBot="1" x14ac:dyDescent="0.3">
      <c r="A53" s="33"/>
      <c r="D53" s="7">
        <f>SUM(D51:D52)</f>
        <v>0.7</v>
      </c>
      <c r="E53" s="39" t="s">
        <v>24</v>
      </c>
      <c r="F53" s="40">
        <f>SUM(E51:E52)</f>
        <v>21683.999707434054</v>
      </c>
      <c r="G53" s="12">
        <f>SUM(G51:G52)</f>
        <v>35</v>
      </c>
      <c r="K53" s="33"/>
      <c r="L53" s="33"/>
      <c r="M53" s="33"/>
      <c r="N53" s="33"/>
      <c r="O53" s="33"/>
      <c r="P53" s="33"/>
      <c r="Q53" s="33"/>
    </row>
    <row r="54" spans="1:17" ht="16.5" x14ac:dyDescent="0.35">
      <c r="A54" s="83"/>
      <c r="B54" s="33"/>
      <c r="C54" s="145" t="s">
        <v>51</v>
      </c>
      <c r="D54" s="146"/>
      <c r="E54" s="147">
        <f>'חישוב עד 31.7.2012'!G52</f>
        <v>20767.467908551556</v>
      </c>
      <c r="K54" s="33"/>
      <c r="L54" s="33"/>
      <c r="M54" s="33"/>
      <c r="N54" s="33"/>
      <c r="O54" s="33"/>
      <c r="P54" s="33"/>
      <c r="Q54" s="33"/>
    </row>
    <row r="55" spans="1:17" ht="15" thickBot="1" x14ac:dyDescent="0.25">
      <c r="B55" s="33"/>
      <c r="C55" s="148" t="s">
        <v>125</v>
      </c>
      <c r="E55" s="151">
        <f>F53-E54</f>
        <v>916.53179888249724</v>
      </c>
    </row>
    <row r="56" spans="1:17" ht="15" x14ac:dyDescent="0.25">
      <c r="A56" s="293" t="s">
        <v>52</v>
      </c>
      <c r="B56" s="28"/>
      <c r="C56" s="28"/>
      <c r="D56" s="28"/>
      <c r="E56" s="54"/>
      <c r="F56" s="295">
        <f>$F$30-F53</f>
        <v>-2778.1395603199162</v>
      </c>
      <c r="G56" s="28" t="s">
        <v>36</v>
      </c>
      <c r="H56" s="29"/>
    </row>
    <row r="57" spans="1:17" ht="15.75" thickBot="1" x14ac:dyDescent="0.3">
      <c r="A57" s="160"/>
      <c r="B57" s="36"/>
      <c r="C57" s="36"/>
      <c r="D57" s="36"/>
      <c r="E57" s="294"/>
      <c r="F57" s="296">
        <f>F56*12</f>
        <v>-33337.674723838994</v>
      </c>
      <c r="G57" s="36" t="s">
        <v>71</v>
      </c>
      <c r="H57" s="298">
        <f>$I$18*F56</f>
        <v>-227807.44394623314</v>
      </c>
    </row>
    <row r="58" spans="1:17" ht="15.75" x14ac:dyDescent="0.25">
      <c r="B58" s="106"/>
      <c r="F58" s="62"/>
    </row>
    <row r="59" spans="1:17" ht="15" x14ac:dyDescent="0.25">
      <c r="B59" s="130"/>
      <c r="F59" s="18" t="s">
        <v>130</v>
      </c>
    </row>
    <row r="60" spans="1:17" ht="15" x14ac:dyDescent="0.25">
      <c r="A60" s="130"/>
      <c r="B60" s="16" t="s">
        <v>138</v>
      </c>
      <c r="C60" s="16" t="s">
        <v>6</v>
      </c>
      <c r="D60" s="15" t="s">
        <v>8</v>
      </c>
    </row>
    <row r="61" spans="1:17" ht="15" x14ac:dyDescent="0.25">
      <c r="A61" s="11" t="s">
        <v>17</v>
      </c>
      <c r="B61" s="11" t="s">
        <v>37</v>
      </c>
      <c r="C61" s="11" t="s">
        <v>7</v>
      </c>
      <c r="D61" s="23" t="s">
        <v>9</v>
      </c>
      <c r="E61" s="11" t="s">
        <v>10</v>
      </c>
      <c r="G61" t="s">
        <v>32</v>
      </c>
    </row>
    <row r="62" spans="1:17" x14ac:dyDescent="0.2">
      <c r="A62" s="21" t="s">
        <v>16</v>
      </c>
      <c r="B62" s="21" t="s">
        <v>18</v>
      </c>
      <c r="C62" s="1">
        <v>39617</v>
      </c>
      <c r="D62" s="22">
        <f>D51</f>
        <v>0.48</v>
      </c>
      <c r="E62" s="1">
        <f>C62*D62</f>
        <v>19016.16</v>
      </c>
      <c r="F62" s="33"/>
      <c r="G62" s="105">
        <f>D62*100/2</f>
        <v>24</v>
      </c>
    </row>
    <row r="63" spans="1:17" ht="17.25" thickBot="1" x14ac:dyDescent="0.4">
      <c r="A63" t="s">
        <v>15</v>
      </c>
      <c r="B63" t="s">
        <v>33</v>
      </c>
      <c r="C63" s="24">
        <f>C38</f>
        <v>15924.12</v>
      </c>
      <c r="D63" s="19">
        <f>70%-D62</f>
        <v>0.21999999999999997</v>
      </c>
      <c r="E63" s="3">
        <f>C63*D63</f>
        <v>3503.3063999999999</v>
      </c>
      <c r="G63" s="26">
        <f>D63*100/2</f>
        <v>10.999999999999998</v>
      </c>
    </row>
    <row r="64" spans="1:17" ht="15.75" thickBot="1" x14ac:dyDescent="0.3">
      <c r="A64" s="33"/>
      <c r="D64" s="7">
        <f>SUM(D62:D63)</f>
        <v>0.7</v>
      </c>
      <c r="E64" s="39" t="s">
        <v>24</v>
      </c>
      <c r="F64" s="40">
        <f>SUM(E62:E63)</f>
        <v>22519.466400000001</v>
      </c>
      <c r="G64" s="12">
        <f>SUM(G62:G63)</f>
        <v>35</v>
      </c>
    </row>
    <row r="65" spans="1:17" ht="16.5" x14ac:dyDescent="0.35">
      <c r="B65" s="33"/>
      <c r="C65" s="145" t="s">
        <v>51</v>
      </c>
      <c r="D65" s="146"/>
      <c r="E65" s="147">
        <f>'חישוב עד 31.7.2012'!G64</f>
        <v>21729.545780799999</v>
      </c>
    </row>
    <row r="66" spans="1:17" ht="15" thickBot="1" x14ac:dyDescent="0.25">
      <c r="A66" s="131"/>
      <c r="B66" s="33"/>
      <c r="C66" s="148" t="s">
        <v>125</v>
      </c>
      <c r="E66" s="151">
        <f>F64-E65</f>
        <v>789.92061920000197</v>
      </c>
      <c r="G66" s="33"/>
      <c r="H66" s="304"/>
    </row>
    <row r="67" spans="1:17" ht="15" x14ac:dyDescent="0.25">
      <c r="A67" s="293" t="s">
        <v>126</v>
      </c>
      <c r="B67" s="28"/>
      <c r="C67" s="28"/>
      <c r="D67" s="28"/>
      <c r="E67" s="54"/>
      <c r="F67" s="295">
        <f>F30-F64</f>
        <v>-3613.6062528858638</v>
      </c>
      <c r="G67" s="28" t="s">
        <v>36</v>
      </c>
      <c r="H67" s="29"/>
    </row>
    <row r="68" spans="1:17" ht="15.75" thickBot="1" x14ac:dyDescent="0.3">
      <c r="A68" s="160"/>
      <c r="B68" s="36"/>
      <c r="C68" s="36"/>
      <c r="D68" s="36"/>
      <c r="E68" s="294"/>
      <c r="F68" s="296">
        <f>F67*12</f>
        <v>-43363.275034630366</v>
      </c>
      <c r="G68" s="36" t="s">
        <v>71</v>
      </c>
      <c r="H68" s="298">
        <f>$I$18*F67</f>
        <v>-296315.71273664082</v>
      </c>
    </row>
    <row r="69" spans="1:17" ht="15" x14ac:dyDescent="0.25">
      <c r="A69" s="131"/>
      <c r="B69" s="33"/>
      <c r="C69" s="33"/>
      <c r="D69" s="33"/>
      <c r="E69" s="61"/>
      <c r="F69" s="99"/>
      <c r="G69" s="33"/>
      <c r="H69" s="99"/>
    </row>
    <row r="70" spans="1:17" ht="15" x14ac:dyDescent="0.25">
      <c r="A70" s="131"/>
      <c r="B70" s="33"/>
      <c r="C70" s="33"/>
      <c r="D70" s="33"/>
      <c r="E70" s="61"/>
      <c r="F70" s="99"/>
      <c r="G70" s="33"/>
      <c r="H70" s="304"/>
    </row>
    <row r="71" spans="1:17" ht="18" x14ac:dyDescent="0.25">
      <c r="A71" s="131"/>
      <c r="B71" s="33"/>
      <c r="D71" s="132" t="s">
        <v>128</v>
      </c>
      <c r="E71" s="61"/>
      <c r="F71" s="99"/>
      <c r="G71" s="33"/>
      <c r="H71" s="126"/>
    </row>
    <row r="72" spans="1:17" ht="15" x14ac:dyDescent="0.25">
      <c r="D72" s="339">
        <v>0.02</v>
      </c>
      <c r="E72" s="334">
        <f>F9</f>
        <v>24</v>
      </c>
      <c r="F72" s="338" t="s">
        <v>165</v>
      </c>
      <c r="G72" s="334">
        <f>F10+F12</f>
        <v>20.334000000000003</v>
      </c>
      <c r="H72" s="15" t="s">
        <v>15</v>
      </c>
    </row>
    <row r="73" spans="1:17" ht="6.75" customHeight="1" x14ac:dyDescent="0.25">
      <c r="D73" s="33"/>
      <c r="E73" s="61"/>
      <c r="F73" s="99"/>
    </row>
    <row r="74" spans="1:17" ht="15" x14ac:dyDescent="0.25">
      <c r="E74" s="61"/>
      <c r="F74" s="18" t="s">
        <v>129</v>
      </c>
      <c r="M74" s="18" t="s">
        <v>140</v>
      </c>
      <c r="N74" s="18"/>
      <c r="O74" s="18"/>
      <c r="P74" s="18"/>
    </row>
    <row r="75" spans="1:17" ht="15" x14ac:dyDescent="0.25">
      <c r="A75" s="11" t="s">
        <v>17</v>
      </c>
      <c r="B75" s="16" t="s">
        <v>138</v>
      </c>
      <c r="C75" s="16" t="s">
        <v>6</v>
      </c>
      <c r="D75" s="15" t="s">
        <v>8</v>
      </c>
      <c r="E75" s="33"/>
      <c r="K75" s="33"/>
      <c r="L75" s="9" t="str">
        <f>F74</f>
        <v>בדרגה 44+</v>
      </c>
      <c r="M75" s="312" t="s">
        <v>131</v>
      </c>
      <c r="N75" s="313">
        <f>P81</f>
        <v>-161.7680986234991</v>
      </c>
      <c r="O75" t="s">
        <v>132</v>
      </c>
      <c r="P75" s="78"/>
      <c r="Q75" s="33"/>
    </row>
    <row r="76" spans="1:17" ht="15" x14ac:dyDescent="0.25">
      <c r="A76" s="21" t="s">
        <v>16</v>
      </c>
      <c r="B76" s="11" t="s">
        <v>37</v>
      </c>
      <c r="C76" s="11" t="s">
        <v>7</v>
      </c>
      <c r="D76" s="23" t="s">
        <v>9</v>
      </c>
      <c r="E76" s="11" t="s">
        <v>10</v>
      </c>
      <c r="G76" t="s">
        <v>32</v>
      </c>
      <c r="K76" s="122"/>
      <c r="L76" s="115"/>
      <c r="M76" s="116" t="s">
        <v>6</v>
      </c>
      <c r="N76" s="117" t="s">
        <v>8</v>
      </c>
      <c r="O76" s="115"/>
      <c r="P76" s="115"/>
      <c r="Q76" s="92"/>
    </row>
    <row r="77" spans="1:17" x14ac:dyDescent="0.2">
      <c r="A77" t="s">
        <v>15</v>
      </c>
      <c r="B77" s="21" t="s">
        <v>18</v>
      </c>
      <c r="C77" s="1">
        <v>39617</v>
      </c>
      <c r="D77" s="22">
        <f>F9*2%</f>
        <v>0.48</v>
      </c>
      <c r="E77" s="1">
        <f>C77*D77</f>
        <v>19016.16</v>
      </c>
      <c r="F77" s="33"/>
      <c r="G77" s="105">
        <f>D77*100/2</f>
        <v>24</v>
      </c>
      <c r="K77" s="120" t="s">
        <v>17</v>
      </c>
      <c r="L77" s="112" t="s">
        <v>37</v>
      </c>
      <c r="M77" s="112" t="s">
        <v>7</v>
      </c>
      <c r="N77" s="112" t="s">
        <v>31</v>
      </c>
      <c r="O77" s="112" t="s">
        <v>10</v>
      </c>
      <c r="P77" s="82"/>
      <c r="Q77" s="79" t="s">
        <v>32</v>
      </c>
    </row>
    <row r="78" spans="1:17" ht="15" thickBot="1" x14ac:dyDescent="0.25">
      <c r="A78" s="33"/>
      <c r="B78" t="s">
        <v>19</v>
      </c>
      <c r="C78" s="24">
        <f>C52</f>
        <v>12126.54412470024</v>
      </c>
      <c r="D78" s="19">
        <f>(F10+F12)*D72</f>
        <v>0.4066800000000001</v>
      </c>
      <c r="E78" s="1">
        <f>C78*D78</f>
        <v>4931.6229646330949</v>
      </c>
      <c r="G78" s="26">
        <f>D78*100/2</f>
        <v>20.334000000000003</v>
      </c>
      <c r="K78" s="119" t="s">
        <v>16</v>
      </c>
      <c r="L78" s="82" t="s">
        <v>18</v>
      </c>
      <c r="M78" s="81">
        <v>39617</v>
      </c>
      <c r="N78" s="41">
        <f>D77</f>
        <v>0.48</v>
      </c>
      <c r="O78" s="81">
        <f>M78*N78</f>
        <v>19016.16</v>
      </c>
      <c r="P78" s="78"/>
      <c r="Q78" s="79">
        <f>N78*100/2</f>
        <v>24</v>
      </c>
    </row>
    <row r="79" spans="1:17" ht="17.25" thickBot="1" x14ac:dyDescent="0.4">
      <c r="D79" s="6">
        <f>SUM(D77:D78)</f>
        <v>0.88668000000000013</v>
      </c>
      <c r="E79" s="39" t="s">
        <v>24</v>
      </c>
      <c r="F79" s="40">
        <f>SUM(E77:E78)</f>
        <v>23947.782964633094</v>
      </c>
      <c r="G79" s="12">
        <f>SUM(G77:G78)</f>
        <v>44.334000000000003</v>
      </c>
      <c r="K79" s="80" t="s">
        <v>15</v>
      </c>
      <c r="L79" s="82" t="s">
        <v>19</v>
      </c>
      <c r="M79" s="83">
        <f>C18</f>
        <v>12126.54412470024</v>
      </c>
      <c r="N79" s="43">
        <f>F10*D72</f>
        <v>0.39334000000000002</v>
      </c>
      <c r="O79" s="84">
        <f>M79*N79</f>
        <v>4769.854866009593</v>
      </c>
      <c r="P79" s="78"/>
      <c r="Q79" s="63">
        <f>N79*100/2</f>
        <v>19.667000000000002</v>
      </c>
    </row>
    <row r="80" spans="1:17" ht="17.25" thickBot="1" x14ac:dyDescent="0.4">
      <c r="A80" s="33"/>
      <c r="B80" s="33"/>
      <c r="C80" s="145" t="s">
        <v>51</v>
      </c>
      <c r="D80" s="146"/>
      <c r="E80" s="147">
        <f>'חישוב עד 31.7.2012'!G79</f>
        <v>22626.952184633094</v>
      </c>
      <c r="K80" s="80"/>
      <c r="L80" s="78"/>
      <c r="M80" s="78"/>
      <c r="N80" s="208">
        <f>SUM(N78:N79)</f>
        <v>0.87334000000000001</v>
      </c>
      <c r="O80" s="78" t="s">
        <v>24</v>
      </c>
      <c r="P80" s="108">
        <f>SUM(O78:O79)</f>
        <v>23786.014866009595</v>
      </c>
      <c r="Q80" s="79">
        <f>SUM(Q78:Q79)</f>
        <v>43.667000000000002</v>
      </c>
    </row>
    <row r="81" spans="1:17" ht="15" thickBot="1" x14ac:dyDescent="0.25">
      <c r="A81" s="33"/>
      <c r="B81" s="33"/>
      <c r="C81" s="148" t="s">
        <v>125</v>
      </c>
      <c r="E81" s="151">
        <f>F79-E80</f>
        <v>1320.8307800000002</v>
      </c>
      <c r="G81" s="33"/>
      <c r="H81" s="33"/>
      <c r="K81" s="80"/>
      <c r="L81" s="78"/>
      <c r="M81" s="86" t="s">
        <v>134</v>
      </c>
      <c r="P81" s="107">
        <f>P80-F79</f>
        <v>-161.7680986234991</v>
      </c>
    </row>
    <row r="82" spans="1:17" ht="15" x14ac:dyDescent="0.25">
      <c r="A82" s="293" t="s">
        <v>54</v>
      </c>
      <c r="B82" s="28"/>
      <c r="C82" s="28"/>
      <c r="D82" s="306"/>
      <c r="E82" s="54"/>
      <c r="F82" s="295">
        <f>F30-F79</f>
        <v>-5041.9228175189564</v>
      </c>
      <c r="G82" s="28" t="s">
        <v>36</v>
      </c>
      <c r="H82" s="29"/>
      <c r="K82" s="121"/>
      <c r="L82" s="88"/>
      <c r="M82" s="88"/>
      <c r="N82" s="88"/>
      <c r="O82" s="88"/>
      <c r="P82" s="109"/>
      <c r="Q82" s="114"/>
    </row>
    <row r="83" spans="1:17" ht="18" thickBot="1" x14ac:dyDescent="0.4">
      <c r="A83" s="307"/>
      <c r="B83" s="36"/>
      <c r="C83" s="36"/>
      <c r="D83" s="36"/>
      <c r="E83" s="294"/>
      <c r="F83" s="296">
        <f>F82*12</f>
        <v>-60503.073810227477</v>
      </c>
      <c r="G83" s="36" t="s">
        <v>71</v>
      </c>
      <c r="H83" s="298">
        <f>$I$18*F82</f>
        <v>-413437.67103655444</v>
      </c>
      <c r="L83" s="8"/>
      <c r="M83" s="5"/>
      <c r="N83" s="14"/>
      <c r="O83" s="20"/>
    </row>
    <row r="84" spans="1:17" ht="17.25" x14ac:dyDescent="0.35">
      <c r="A84" s="305"/>
      <c r="B84" s="33"/>
      <c r="C84" s="33"/>
      <c r="D84" s="33"/>
      <c r="E84" s="61"/>
      <c r="F84" s="99"/>
      <c r="G84" s="33"/>
      <c r="H84" s="99"/>
      <c r="L84" s="8"/>
      <c r="M84" s="5"/>
      <c r="N84" s="14"/>
      <c r="O84" s="20"/>
    </row>
    <row r="85" spans="1:17" ht="15" x14ac:dyDescent="0.25">
      <c r="F85" s="18" t="s">
        <v>130</v>
      </c>
    </row>
    <row r="86" spans="1:17" ht="15" x14ac:dyDescent="0.25">
      <c r="F86" s="18"/>
      <c r="L86" s="9" t="str">
        <f>F85</f>
        <v>בדרגה 46+</v>
      </c>
      <c r="M86" s="312" t="s">
        <v>131</v>
      </c>
      <c r="N86" s="313">
        <f>P92</f>
        <v>-212.42776080000112</v>
      </c>
      <c r="O86" t="s">
        <v>132</v>
      </c>
      <c r="P86" s="78"/>
    </row>
    <row r="87" spans="1:17" ht="15" x14ac:dyDescent="0.25">
      <c r="A87" s="11" t="s">
        <v>17</v>
      </c>
      <c r="B87" s="16" t="s">
        <v>138</v>
      </c>
      <c r="C87" s="16" t="s">
        <v>6</v>
      </c>
      <c r="D87" s="15" t="s">
        <v>8</v>
      </c>
      <c r="E87" s="33"/>
      <c r="K87" s="122"/>
      <c r="L87" s="115"/>
      <c r="M87" s="116" t="s">
        <v>6</v>
      </c>
      <c r="N87" s="117" t="s">
        <v>8</v>
      </c>
      <c r="O87" s="115"/>
      <c r="P87" s="115"/>
      <c r="Q87" s="92"/>
    </row>
    <row r="88" spans="1:17" ht="15" x14ac:dyDescent="0.25">
      <c r="A88" s="21" t="s">
        <v>16</v>
      </c>
      <c r="B88" s="11" t="s">
        <v>37</v>
      </c>
      <c r="C88" s="11" t="s">
        <v>7</v>
      </c>
      <c r="D88" s="23" t="s">
        <v>9</v>
      </c>
      <c r="E88" s="11" t="s">
        <v>10</v>
      </c>
      <c r="G88" t="s">
        <v>32</v>
      </c>
      <c r="K88" s="120" t="s">
        <v>17</v>
      </c>
      <c r="L88" s="112" t="s">
        <v>37</v>
      </c>
      <c r="M88" s="112" t="s">
        <v>7</v>
      </c>
      <c r="N88" s="112" t="s">
        <v>31</v>
      </c>
      <c r="O88" s="112" t="s">
        <v>10</v>
      </c>
      <c r="P88" s="82"/>
      <c r="Q88" s="113"/>
    </row>
    <row r="89" spans="1:17" x14ac:dyDescent="0.2">
      <c r="A89" t="s">
        <v>15</v>
      </c>
      <c r="B89" s="21" t="s">
        <v>18</v>
      </c>
      <c r="C89" s="1">
        <v>39617</v>
      </c>
      <c r="D89" s="22">
        <f>D77</f>
        <v>0.48</v>
      </c>
      <c r="E89" s="1">
        <f>C89*D89</f>
        <v>19016.16</v>
      </c>
      <c r="F89" s="33"/>
      <c r="G89" s="105">
        <f>D89*100/2</f>
        <v>24</v>
      </c>
      <c r="K89" s="119" t="s">
        <v>16</v>
      </c>
      <c r="L89" s="82" t="s">
        <v>18</v>
      </c>
      <c r="M89" s="81">
        <v>39617</v>
      </c>
      <c r="N89" s="41">
        <f>D89</f>
        <v>0.48</v>
      </c>
      <c r="O89" s="81">
        <f>M89*N89</f>
        <v>19016.16</v>
      </c>
      <c r="P89" s="78"/>
      <c r="Q89" s="79" t="s">
        <v>32</v>
      </c>
    </row>
    <row r="90" spans="1:17" ht="17.25" thickBot="1" x14ac:dyDescent="0.4">
      <c r="A90" s="33"/>
      <c r="B90" t="s">
        <v>33</v>
      </c>
      <c r="C90" s="24">
        <f>C63</f>
        <v>15924.12</v>
      </c>
      <c r="D90" s="19">
        <f>D78</f>
        <v>0.4066800000000001</v>
      </c>
      <c r="E90" s="1">
        <f>C90*D90</f>
        <v>6476.0211216000016</v>
      </c>
      <c r="G90" s="26">
        <f>D90*100/2</f>
        <v>20.334000000000003</v>
      </c>
      <c r="K90" s="80" t="s">
        <v>15</v>
      </c>
      <c r="L90" s="82" t="s">
        <v>139</v>
      </c>
      <c r="M90" s="83">
        <f>G18</f>
        <v>15924.119999999999</v>
      </c>
      <c r="N90" s="43">
        <f>F10*D72</f>
        <v>0.39334000000000002</v>
      </c>
      <c r="O90" s="84">
        <f>M90*N90</f>
        <v>6263.5933607999996</v>
      </c>
      <c r="P90" s="78"/>
      <c r="Q90" s="79">
        <f>N89*100/2</f>
        <v>24</v>
      </c>
    </row>
    <row r="91" spans="1:17" ht="17.25" thickBot="1" x14ac:dyDescent="0.4">
      <c r="A91" s="33"/>
      <c r="D91" s="6">
        <f>SUM(D89:D90)</f>
        <v>0.88668000000000013</v>
      </c>
      <c r="E91" s="39" t="s">
        <v>24</v>
      </c>
      <c r="F91" s="40">
        <f>SUM(E89:E90)</f>
        <v>25492.181121600002</v>
      </c>
      <c r="G91" s="12">
        <f>SUM(G89:G90)</f>
        <v>44.334000000000003</v>
      </c>
      <c r="K91" s="80"/>
      <c r="L91" s="78"/>
      <c r="M91" s="78"/>
      <c r="N91" s="208">
        <f>SUM(N89:N90)</f>
        <v>0.87334000000000001</v>
      </c>
      <c r="O91" s="78" t="s">
        <v>24</v>
      </c>
      <c r="P91" s="108">
        <f>SUM(O89:O90)</f>
        <v>25279.753360800001</v>
      </c>
      <c r="Q91" s="63">
        <f>N90*100/2</f>
        <v>19.667000000000002</v>
      </c>
    </row>
    <row r="92" spans="1:17" ht="17.25" thickBot="1" x14ac:dyDescent="0.4">
      <c r="A92" s="83"/>
      <c r="D92" s="146"/>
      <c r="E92" s="147">
        <f>'חישוב עד 31.7.2012'!G89</f>
        <v>24171.350341600002</v>
      </c>
      <c r="G92" s="12"/>
      <c r="K92" s="80"/>
      <c r="L92" s="78"/>
      <c r="M92" s="78"/>
      <c r="N92" s="78"/>
      <c r="O92" s="86" t="s">
        <v>23</v>
      </c>
      <c r="P92" s="107">
        <f>P91-F91</f>
        <v>-212.42776080000112</v>
      </c>
      <c r="Q92" s="79">
        <f>SUM(Q90:Q91)</f>
        <v>43.667000000000002</v>
      </c>
    </row>
    <row r="93" spans="1:17" ht="15" thickBot="1" x14ac:dyDescent="0.25">
      <c r="C93" s="148" t="s">
        <v>125</v>
      </c>
      <c r="D93" s="148"/>
      <c r="E93" s="151">
        <f>F91-E92</f>
        <v>1320.8307800000002</v>
      </c>
      <c r="K93" s="121"/>
      <c r="L93" s="88"/>
      <c r="M93" s="88"/>
      <c r="N93" s="88"/>
      <c r="O93" s="88"/>
      <c r="P93" s="109"/>
      <c r="Q93" s="114"/>
    </row>
    <row r="94" spans="1:17" ht="15" x14ac:dyDescent="0.25">
      <c r="A94" s="293" t="s">
        <v>53</v>
      </c>
      <c r="B94" s="28"/>
      <c r="C94" s="28"/>
      <c r="D94" s="28"/>
      <c r="E94" s="54"/>
      <c r="F94" s="295">
        <f>F30-F91</f>
        <v>-6586.320974485865</v>
      </c>
      <c r="G94" s="28" t="s">
        <v>36</v>
      </c>
      <c r="H94" s="29"/>
    </row>
    <row r="95" spans="1:17" ht="15.75" thickBot="1" x14ac:dyDescent="0.3">
      <c r="A95" s="35"/>
      <c r="B95" s="36"/>
      <c r="C95" s="36"/>
      <c r="D95" s="308"/>
      <c r="E95" s="294"/>
      <c r="F95" s="296">
        <f>F94*12</f>
        <v>-79035.85169383038</v>
      </c>
      <c r="G95" s="36" t="s">
        <v>71</v>
      </c>
      <c r="H95" s="298">
        <f>$I$18*F94</f>
        <v>-540078.31990784092</v>
      </c>
      <c r="L95" t="s">
        <v>142</v>
      </c>
    </row>
    <row r="96" spans="1:17" x14ac:dyDescent="0.2">
      <c r="D96" s="33"/>
      <c r="M96" t="s">
        <v>141</v>
      </c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סכומי התביעה</vt:lpstr>
      <vt:lpstr>חישוב עד 31.7.2012</vt:lpstr>
      <vt:lpstr>חישוב עד 31.3.2014 </vt:lpstr>
      <vt:lpstr>'סכומי התביעה'!WPrint_Area_W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</dc:creator>
  <cp:lastModifiedBy>Shimon</cp:lastModifiedBy>
  <cp:lastPrinted>2019-05-02T07:58:09Z</cp:lastPrinted>
  <dcterms:created xsi:type="dcterms:W3CDTF">2019-04-04T08:44:12Z</dcterms:created>
  <dcterms:modified xsi:type="dcterms:W3CDTF">2019-05-05T09:35:49Z</dcterms:modified>
</cp:coreProperties>
</file>