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שמעון\האחסון שלי\P\myself\גמלאות\חיסדאי\קדם משפט\"/>
    </mc:Choice>
  </mc:AlternateContent>
  <xr:revisionPtr revIDLastSave="0" documentId="13_ncr:1_{6F2661EA-14CE-4E83-8835-3014401161DB}" xr6:coauthVersionLast="47" xr6:coauthVersionMax="47" xr10:uidLastSave="{00000000-0000-0000-0000-000000000000}"/>
  <bookViews>
    <workbookView xWindow="-104" yWindow="-104" windowWidth="22326" windowHeight="11947" firstSheet="4" activeTab="8" xr2:uid="{1D3560B9-445A-4044-8C26-3236A6D31411}"/>
  </bookViews>
  <sheets>
    <sheet name="פנסיה+ כ.מינוי+חוזה (4)" sheetId="10" r:id="rId1"/>
    <sheet name="פנסיה כ.מינוי+חוזה (4)" sheetId="9" r:id="rId2"/>
    <sheet name="גיליון1" sheetId="1" r:id="rId3"/>
    <sheet name="פנסיה כ.מנוי" sheetId="4" r:id="rId4"/>
    <sheet name="פנסיה ת. חוזה" sheetId="2" r:id="rId5"/>
    <sheet name="פנסיה ת. חוזה (2)" sheetId="6" r:id="rId6"/>
    <sheet name="פנסיה כ.מנוי (2)" sheetId="7" r:id="rId7"/>
    <sheet name="פנסיה+ כ.מינוי+חוזה (3)" sheetId="8" r:id="rId8"/>
    <sheet name="נוסחת אהרונוב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11" l="1"/>
  <c r="X18" i="11" s="1"/>
  <c r="W27" i="11"/>
  <c r="X27" i="11" s="1"/>
  <c r="W28" i="11"/>
  <c r="X28" i="11" s="1"/>
  <c r="W29" i="11"/>
  <c r="X29" i="11" s="1"/>
  <c r="W30" i="11"/>
  <c r="X30" i="11" s="1"/>
  <c r="W31" i="11"/>
  <c r="X31" i="11" s="1"/>
  <c r="W32" i="11"/>
  <c r="X32" i="11" s="1"/>
  <c r="W33" i="11"/>
  <c r="X33" i="11" s="1"/>
  <c r="W34" i="11"/>
  <c r="X34" i="11" s="1"/>
  <c r="W35" i="11"/>
  <c r="X35" i="11" s="1"/>
  <c r="W36" i="11"/>
  <c r="X36" i="11" s="1"/>
  <c r="W37" i="11"/>
  <c r="X37" i="11" s="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G37" i="11"/>
  <c r="E37" i="11"/>
  <c r="G36" i="11"/>
  <c r="E36" i="11"/>
  <c r="J36" i="11" s="1"/>
  <c r="G35" i="11"/>
  <c r="E35" i="11"/>
  <c r="F35" i="11" s="1"/>
  <c r="G34" i="11"/>
  <c r="E34" i="11"/>
  <c r="J34" i="11" s="1"/>
  <c r="K34" i="11" s="1"/>
  <c r="AR33" i="11"/>
  <c r="AP33" i="11"/>
  <c r="AR32" i="11"/>
  <c r="AP32" i="11"/>
  <c r="AR31" i="11"/>
  <c r="AP31" i="11"/>
  <c r="AR30" i="11"/>
  <c r="AP30" i="11"/>
  <c r="AR29" i="11"/>
  <c r="AP29" i="11"/>
  <c r="AR28" i="11"/>
  <c r="AP28" i="11"/>
  <c r="AR27" i="11"/>
  <c r="AP27" i="11"/>
  <c r="AR26" i="11"/>
  <c r="AP26" i="11"/>
  <c r="AR25" i="11"/>
  <c r="AP25" i="11"/>
  <c r="AR23" i="11"/>
  <c r="AP23" i="11"/>
  <c r="AR22" i="11"/>
  <c r="AP22" i="11"/>
  <c r="Q22" i="11"/>
  <c r="AR21" i="11"/>
  <c r="AP21" i="11"/>
  <c r="AR20" i="11"/>
  <c r="AP20" i="11"/>
  <c r="AR19" i="11"/>
  <c r="AP19" i="11"/>
  <c r="AR18" i="11"/>
  <c r="AP18" i="11"/>
  <c r="BA18" i="11" s="1"/>
  <c r="AP16" i="11"/>
  <c r="AP15" i="11"/>
  <c r="BA15" i="11" s="1"/>
  <c r="AP14" i="11"/>
  <c r="BA14" i="11" s="1"/>
  <c r="AP13" i="11"/>
  <c r="BA13" i="11" s="1"/>
  <c r="AP12" i="11"/>
  <c r="BA12" i="11" s="1"/>
  <c r="B12" i="11"/>
  <c r="BA11" i="11"/>
  <c r="AZ11" i="11" s="1"/>
  <c r="AR11" i="11"/>
  <c r="AQ11" i="11"/>
  <c r="E11" i="11"/>
  <c r="G11" i="11" s="1"/>
  <c r="E10" i="11"/>
  <c r="G10" i="11" s="1"/>
  <c r="C10" i="11"/>
  <c r="E9" i="11"/>
  <c r="F9" i="11" s="1"/>
  <c r="C9" i="11"/>
  <c r="P9" i="11" s="1"/>
  <c r="Q9" i="11" s="1"/>
  <c r="Z9" i="11" s="1"/>
  <c r="J37" i="10"/>
  <c r="G37" i="10"/>
  <c r="E37" i="10"/>
  <c r="F37" i="10" s="1"/>
  <c r="H36" i="10"/>
  <c r="G36" i="10"/>
  <c r="E36" i="10"/>
  <c r="F36" i="10" s="1"/>
  <c r="G35" i="10"/>
  <c r="E35" i="10"/>
  <c r="F35" i="10" s="1"/>
  <c r="H35" i="10" s="1"/>
  <c r="K34" i="10"/>
  <c r="G34" i="10"/>
  <c r="H34" i="10" s="1"/>
  <c r="F34" i="10"/>
  <c r="E34" i="10"/>
  <c r="J34" i="10" s="1"/>
  <c r="AN33" i="10"/>
  <c r="AL33" i="10"/>
  <c r="AN32" i="10"/>
  <c r="AL32" i="10"/>
  <c r="AN31" i="10"/>
  <c r="AL31" i="10"/>
  <c r="AN30" i="10"/>
  <c r="AL30" i="10"/>
  <c r="AN29" i="10"/>
  <c r="AL29" i="10"/>
  <c r="AN28" i="10"/>
  <c r="AL28" i="10"/>
  <c r="AN27" i="10"/>
  <c r="AL27" i="10"/>
  <c r="AN26" i="10"/>
  <c r="AL26" i="10"/>
  <c r="AN25" i="10"/>
  <c r="AL25" i="10"/>
  <c r="AN23" i="10"/>
  <c r="AL23" i="10"/>
  <c r="AN22" i="10"/>
  <c r="AL22" i="10"/>
  <c r="Q22" i="10"/>
  <c r="AN21" i="10"/>
  <c r="AL21" i="10"/>
  <c r="AN20" i="10"/>
  <c r="AL20" i="10"/>
  <c r="AN19" i="10"/>
  <c r="AL19" i="10"/>
  <c r="AN18" i="10"/>
  <c r="AL18" i="10"/>
  <c r="AW18" i="10" s="1"/>
  <c r="AL16" i="10"/>
  <c r="AL15" i="10"/>
  <c r="AL14" i="10"/>
  <c r="AW14" i="10" s="1"/>
  <c r="AL13" i="10"/>
  <c r="AW13" i="10" s="1"/>
  <c r="AV14" i="10" s="1"/>
  <c r="AL12" i="10"/>
  <c r="AW12" i="10" s="1"/>
  <c r="B12" i="10"/>
  <c r="B13" i="10" s="1"/>
  <c r="AW11" i="10"/>
  <c r="AV12" i="10" s="1"/>
  <c r="AN11" i="10"/>
  <c r="AM11" i="10"/>
  <c r="E11" i="10"/>
  <c r="G11" i="10" s="1"/>
  <c r="J10" i="10"/>
  <c r="K10" i="10" s="1"/>
  <c r="E10" i="10"/>
  <c r="C10" i="10"/>
  <c r="P10" i="10" s="1"/>
  <c r="Q10" i="10" s="1"/>
  <c r="V10" i="10" s="1"/>
  <c r="E9" i="10"/>
  <c r="G9" i="10" s="1"/>
  <c r="C9" i="10"/>
  <c r="P9" i="10" s="1"/>
  <c r="Q9" i="10" s="1"/>
  <c r="V9" i="10" s="1"/>
  <c r="E17" i="8"/>
  <c r="F17" i="8" s="1"/>
  <c r="M17" i="8" s="1"/>
  <c r="N17" i="8" s="1"/>
  <c r="O17" i="8" s="1"/>
  <c r="J17" i="8"/>
  <c r="K17" i="8" s="1"/>
  <c r="Q17" i="8"/>
  <c r="V17" i="8"/>
  <c r="C17" i="8"/>
  <c r="B17" i="8"/>
  <c r="G37" i="9"/>
  <c r="H37" i="9" s="1"/>
  <c r="E37" i="9"/>
  <c r="F37" i="9" s="1"/>
  <c r="G36" i="9"/>
  <c r="F36" i="9"/>
  <c r="E36" i="9"/>
  <c r="J36" i="9" s="1"/>
  <c r="J35" i="9"/>
  <c r="G35" i="9"/>
  <c r="E35" i="9"/>
  <c r="F35" i="9" s="1"/>
  <c r="H34" i="9"/>
  <c r="G34" i="9"/>
  <c r="F34" i="9"/>
  <c r="E34" i="9"/>
  <c r="J34" i="9" s="1"/>
  <c r="AN33" i="9"/>
  <c r="AL33" i="9"/>
  <c r="AN32" i="9"/>
  <c r="AL32" i="9"/>
  <c r="AN31" i="9"/>
  <c r="AL31" i="9"/>
  <c r="AN30" i="9"/>
  <c r="AL30" i="9"/>
  <c r="AN29" i="9"/>
  <c r="AL29" i="9"/>
  <c r="AN28" i="9"/>
  <c r="AL28" i="9"/>
  <c r="AN27" i="9"/>
  <c r="AL27" i="9"/>
  <c r="AN26" i="9"/>
  <c r="AL26" i="9"/>
  <c r="AN25" i="9"/>
  <c r="AL25" i="9"/>
  <c r="AN23" i="9"/>
  <c r="AL23" i="9"/>
  <c r="AN22" i="9"/>
  <c r="AL22" i="9"/>
  <c r="AN21" i="9"/>
  <c r="AL21" i="9"/>
  <c r="AN20" i="9"/>
  <c r="AL20" i="9"/>
  <c r="AN19" i="9"/>
  <c r="AL19" i="9"/>
  <c r="AN18" i="9"/>
  <c r="AL18" i="9"/>
  <c r="AW18" i="9" s="1"/>
  <c r="AW17" i="9"/>
  <c r="AL17" i="9"/>
  <c r="AL16" i="9"/>
  <c r="AL15" i="9"/>
  <c r="AW15" i="9" s="1"/>
  <c r="AW14" i="9"/>
  <c r="AL14" i="9"/>
  <c r="AW13" i="9"/>
  <c r="AV14" i="9" s="1"/>
  <c r="AL13" i="9"/>
  <c r="AW12" i="9"/>
  <c r="AV13" i="9" s="1"/>
  <c r="AL12" i="9"/>
  <c r="AM12" i="9" s="1"/>
  <c r="F12" i="9"/>
  <c r="B12" i="9"/>
  <c r="E12" i="9" s="1"/>
  <c r="AW11" i="9"/>
  <c r="AN11" i="9"/>
  <c r="AM11" i="9"/>
  <c r="E11" i="9"/>
  <c r="G11" i="9" s="1"/>
  <c r="H10" i="9"/>
  <c r="G10" i="9"/>
  <c r="E10" i="9"/>
  <c r="F10" i="9" s="1"/>
  <c r="M10" i="9" s="1"/>
  <c r="C10" i="9"/>
  <c r="P10" i="9" s="1"/>
  <c r="Q10" i="9" s="1"/>
  <c r="V10" i="9" s="1"/>
  <c r="Q9" i="9"/>
  <c r="V9" i="9" s="1"/>
  <c r="K9" i="9"/>
  <c r="G9" i="9"/>
  <c r="F9" i="9"/>
  <c r="M9" i="9" s="1"/>
  <c r="Z9" i="9" s="1"/>
  <c r="AB9" i="9" s="1"/>
  <c r="E9" i="9"/>
  <c r="J9" i="9" s="1"/>
  <c r="C9" i="9"/>
  <c r="P9" i="9" s="1"/>
  <c r="C10" i="8"/>
  <c r="P10" i="8" s="1"/>
  <c r="Q10" i="8" s="1"/>
  <c r="V10" i="8" s="1"/>
  <c r="C9" i="8"/>
  <c r="E10" i="8"/>
  <c r="G10" i="8" s="1"/>
  <c r="E9" i="8"/>
  <c r="G9" i="8" s="1"/>
  <c r="E35" i="8"/>
  <c r="E36" i="8"/>
  <c r="E37" i="8"/>
  <c r="E34" i="8"/>
  <c r="B12" i="8"/>
  <c r="E12" i="8" s="1"/>
  <c r="G12" i="8" s="1"/>
  <c r="E11" i="8"/>
  <c r="J11" i="8" s="1"/>
  <c r="K11" i="8" s="1"/>
  <c r="L9" i="7"/>
  <c r="H9" i="7"/>
  <c r="AN33" i="8"/>
  <c r="AL33" i="8"/>
  <c r="AN32" i="8"/>
  <c r="AL32" i="8"/>
  <c r="AN31" i="8"/>
  <c r="AL31" i="8"/>
  <c r="AN30" i="8"/>
  <c r="AL30" i="8"/>
  <c r="AN29" i="8"/>
  <c r="AL29" i="8"/>
  <c r="AN28" i="8"/>
  <c r="AL28" i="8"/>
  <c r="AN27" i="8"/>
  <c r="AL27" i="8"/>
  <c r="AN26" i="8"/>
  <c r="AL26" i="8"/>
  <c r="AN25" i="8"/>
  <c r="AL25" i="8"/>
  <c r="AN23" i="8"/>
  <c r="AL23" i="8"/>
  <c r="AN22" i="8"/>
  <c r="AL22" i="8"/>
  <c r="AN21" i="8"/>
  <c r="AL21" i="8"/>
  <c r="AN20" i="8"/>
  <c r="AL20" i="8"/>
  <c r="AN19" i="8"/>
  <c r="AL19" i="8"/>
  <c r="AN18" i="8"/>
  <c r="AL18" i="8"/>
  <c r="AL16" i="8"/>
  <c r="AL15" i="8"/>
  <c r="AW15" i="8" s="1"/>
  <c r="AL14" i="8"/>
  <c r="AL13" i="8"/>
  <c r="AW13" i="8" s="1"/>
  <c r="AL12" i="8"/>
  <c r="AW11" i="8"/>
  <c r="AV11" i="8" s="1"/>
  <c r="AN11" i="8"/>
  <c r="AM11" i="8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38" i="7"/>
  <c r="B9" i="7"/>
  <c r="C9" i="7" s="1"/>
  <c r="B10" i="7"/>
  <c r="C10" i="7" s="1"/>
  <c r="I8" i="6"/>
  <c r="K8" i="6"/>
  <c r="L8" i="6"/>
  <c r="M8" i="6"/>
  <c r="N8" i="6"/>
  <c r="H8" i="6"/>
  <c r="F8" i="6"/>
  <c r="E8" i="6"/>
  <c r="E9" i="6"/>
  <c r="E10" i="6" s="1"/>
  <c r="AF10" i="6" s="1"/>
  <c r="C8" i="6"/>
  <c r="Z32" i="7"/>
  <c r="X32" i="7"/>
  <c r="Z31" i="7"/>
  <c r="X31" i="7"/>
  <c r="Z30" i="7"/>
  <c r="X30" i="7"/>
  <c r="Z29" i="7"/>
  <c r="X29" i="7"/>
  <c r="Z28" i="7"/>
  <c r="X28" i="7"/>
  <c r="Z27" i="7"/>
  <c r="X27" i="7"/>
  <c r="Z26" i="7"/>
  <c r="X26" i="7"/>
  <c r="Z25" i="7"/>
  <c r="X25" i="7"/>
  <c r="X24" i="7"/>
  <c r="Z23" i="7"/>
  <c r="X23" i="7"/>
  <c r="Z22" i="7"/>
  <c r="X22" i="7"/>
  <c r="Z21" i="7"/>
  <c r="X21" i="7"/>
  <c r="Z20" i="7"/>
  <c r="X20" i="7"/>
  <c r="Z19" i="7"/>
  <c r="X19" i="7"/>
  <c r="Z18" i="7"/>
  <c r="X18" i="7"/>
  <c r="Z17" i="7"/>
  <c r="X17" i="7"/>
  <c r="AI17" i="7" s="1"/>
  <c r="X16" i="7"/>
  <c r="X15" i="7"/>
  <c r="X14" i="7"/>
  <c r="AI14" i="7" s="1"/>
  <c r="X13" i="7"/>
  <c r="AI13" i="7" s="1"/>
  <c r="X12" i="7"/>
  <c r="AI12" i="7" s="1"/>
  <c r="X11" i="7"/>
  <c r="AI10" i="7"/>
  <c r="AH10" i="7" s="1"/>
  <c r="Z10" i="7"/>
  <c r="Z32" i="6"/>
  <c r="X32" i="6"/>
  <c r="Z31" i="6"/>
  <c r="X31" i="6"/>
  <c r="Z30" i="6"/>
  <c r="X30" i="6"/>
  <c r="Z29" i="6"/>
  <c r="X29" i="6"/>
  <c r="Z28" i="6"/>
  <c r="X28" i="6"/>
  <c r="Z27" i="6"/>
  <c r="X27" i="6"/>
  <c r="Z26" i="6"/>
  <c r="X26" i="6"/>
  <c r="Z25" i="6"/>
  <c r="X25" i="6"/>
  <c r="X24" i="6"/>
  <c r="Z23" i="6"/>
  <c r="X23" i="6"/>
  <c r="Z22" i="6"/>
  <c r="X22" i="6"/>
  <c r="Z21" i="6"/>
  <c r="X21" i="6"/>
  <c r="Z20" i="6"/>
  <c r="X20" i="6"/>
  <c r="Z19" i="6"/>
  <c r="X19" i="6"/>
  <c r="Z18" i="6"/>
  <c r="X18" i="6"/>
  <c r="Z17" i="6"/>
  <c r="X17" i="6"/>
  <c r="X16" i="6"/>
  <c r="AI16" i="6" s="1"/>
  <c r="N15" i="6"/>
  <c r="X14" i="6"/>
  <c r="X13" i="6"/>
  <c r="AI13" i="6" s="1"/>
  <c r="X12" i="6"/>
  <c r="X11" i="6"/>
  <c r="AI11" i="6" s="1"/>
  <c r="X10" i="6"/>
  <c r="AI9" i="6"/>
  <c r="AH9" i="6"/>
  <c r="Z9" i="6"/>
  <c r="Y9" i="6"/>
  <c r="F9" i="6"/>
  <c r="I9" i="6" s="1"/>
  <c r="C9" i="6"/>
  <c r="K8" i="4"/>
  <c r="K9" i="4"/>
  <c r="K10" i="4"/>
  <c r="K11" i="4"/>
  <c r="K12" i="4"/>
  <c r="K13" i="4"/>
  <c r="F31" i="4"/>
  <c r="F32" i="4"/>
  <c r="F33" i="4"/>
  <c r="F34" i="4"/>
  <c r="Z30" i="4"/>
  <c r="X30" i="4"/>
  <c r="Z29" i="4"/>
  <c r="X29" i="4"/>
  <c r="Z28" i="4"/>
  <c r="X28" i="4"/>
  <c r="Z27" i="4"/>
  <c r="X27" i="4"/>
  <c r="Z26" i="4"/>
  <c r="X26" i="4"/>
  <c r="Z25" i="4"/>
  <c r="X25" i="4"/>
  <c r="Z24" i="4"/>
  <c r="X24" i="4"/>
  <c r="Z23" i="4"/>
  <c r="X23" i="4"/>
  <c r="X22" i="4"/>
  <c r="Z21" i="4"/>
  <c r="X21" i="4"/>
  <c r="Z20" i="4"/>
  <c r="X20" i="4"/>
  <c r="Z19" i="4"/>
  <c r="X19" i="4"/>
  <c r="Z18" i="4"/>
  <c r="X18" i="4"/>
  <c r="Z17" i="4"/>
  <c r="X17" i="4"/>
  <c r="Z16" i="4"/>
  <c r="X16" i="4"/>
  <c r="Z15" i="4"/>
  <c r="X15" i="4"/>
  <c r="X14" i="4"/>
  <c r="X13" i="4"/>
  <c r="X12" i="4"/>
  <c r="AI12" i="4" s="1"/>
  <c r="X11" i="4"/>
  <c r="X10" i="4"/>
  <c r="AI10" i="4" s="1"/>
  <c r="X9" i="4"/>
  <c r="AI8" i="4"/>
  <c r="AH8" i="4" s="1"/>
  <c r="Z8" i="4"/>
  <c r="N14" i="2"/>
  <c r="X15" i="2"/>
  <c r="AI15" i="2" s="1"/>
  <c r="X13" i="2"/>
  <c r="E8" i="2"/>
  <c r="F8" i="2" s="1"/>
  <c r="X23" i="2"/>
  <c r="Z31" i="2"/>
  <c r="Z30" i="2"/>
  <c r="Z29" i="2"/>
  <c r="Z28" i="2"/>
  <c r="Z27" i="2"/>
  <c r="Z26" i="2"/>
  <c r="Z25" i="2"/>
  <c r="Z24" i="2"/>
  <c r="Z22" i="2"/>
  <c r="Z21" i="2"/>
  <c r="Z20" i="2"/>
  <c r="Z19" i="2"/>
  <c r="Z18" i="2"/>
  <c r="Z17" i="2"/>
  <c r="Z16" i="2"/>
  <c r="Z8" i="2"/>
  <c r="AI8" i="2"/>
  <c r="AH8" i="2" s="1"/>
  <c r="X9" i="2"/>
  <c r="AI9" i="2" s="1"/>
  <c r="X10" i="2"/>
  <c r="X11" i="2"/>
  <c r="AI11" i="2" s="1"/>
  <c r="X12" i="2"/>
  <c r="AI12" i="2" s="1"/>
  <c r="X16" i="2"/>
  <c r="AI16" i="2" s="1"/>
  <c r="X17" i="2"/>
  <c r="X18" i="2"/>
  <c r="X19" i="2"/>
  <c r="X20" i="2"/>
  <c r="X21" i="2"/>
  <c r="X22" i="2"/>
  <c r="X24" i="2"/>
  <c r="X25" i="2"/>
  <c r="X26" i="2"/>
  <c r="X27" i="2"/>
  <c r="X28" i="2"/>
  <c r="X29" i="2"/>
  <c r="X30" i="2"/>
  <c r="X31" i="2"/>
  <c r="G9" i="11" l="1"/>
  <c r="H9" i="11" s="1"/>
  <c r="F10" i="11"/>
  <c r="M9" i="11"/>
  <c r="H10" i="11"/>
  <c r="J35" i="11"/>
  <c r="F34" i="11"/>
  <c r="H34" i="11" s="1"/>
  <c r="H35" i="11"/>
  <c r="F36" i="11"/>
  <c r="H36" i="11" s="1"/>
  <c r="M10" i="11"/>
  <c r="AZ14" i="11"/>
  <c r="AZ13" i="11"/>
  <c r="AZ12" i="11"/>
  <c r="S10" i="11"/>
  <c r="T10" i="11" s="1"/>
  <c r="AA10" i="11" s="1"/>
  <c r="J11" i="11"/>
  <c r="J10" i="11"/>
  <c r="P10" i="11"/>
  <c r="Q10" i="11" s="1"/>
  <c r="Z10" i="11" s="1"/>
  <c r="F11" i="11"/>
  <c r="AQ12" i="11"/>
  <c r="AC34" i="11"/>
  <c r="F37" i="11"/>
  <c r="H37" i="11" s="1"/>
  <c r="J37" i="11"/>
  <c r="J9" i="11"/>
  <c r="V9" i="11" s="1"/>
  <c r="E12" i="11"/>
  <c r="B13" i="11"/>
  <c r="AQ13" i="11" s="1"/>
  <c r="AC36" i="11"/>
  <c r="K36" i="11"/>
  <c r="E13" i="10"/>
  <c r="B14" i="10"/>
  <c r="J9" i="10"/>
  <c r="S9" i="10"/>
  <c r="T9" i="10" s="1"/>
  <c r="W9" i="10" s="1"/>
  <c r="F9" i="10"/>
  <c r="M9" i="10" s="1"/>
  <c r="Z9" i="10" s="1"/>
  <c r="AB9" i="10" s="1"/>
  <c r="G10" i="10"/>
  <c r="F10" i="10"/>
  <c r="M10" i="10" s="1"/>
  <c r="F11" i="10"/>
  <c r="AV13" i="10"/>
  <c r="Y37" i="10"/>
  <c r="E12" i="10"/>
  <c r="S10" i="10"/>
  <c r="T10" i="10" s="1"/>
  <c r="W10" i="10" s="1"/>
  <c r="AM13" i="10"/>
  <c r="J11" i="10"/>
  <c r="AM12" i="10"/>
  <c r="AM14" i="10"/>
  <c r="K37" i="10"/>
  <c r="AV11" i="10"/>
  <c r="AW15" i="10"/>
  <c r="Y34" i="10"/>
  <c r="J36" i="10"/>
  <c r="H37" i="10"/>
  <c r="J35" i="10"/>
  <c r="G17" i="8"/>
  <c r="P17" i="8"/>
  <c r="B13" i="8"/>
  <c r="B14" i="8" s="1"/>
  <c r="B15" i="8" s="1"/>
  <c r="B16" i="8" s="1"/>
  <c r="B18" i="8" s="1"/>
  <c r="H9" i="9"/>
  <c r="S9" i="9"/>
  <c r="T9" i="9" s="1"/>
  <c r="W9" i="9" s="1"/>
  <c r="J12" i="9"/>
  <c r="AT12" i="9"/>
  <c r="G12" i="9"/>
  <c r="H12" i="9" s="1"/>
  <c r="Y35" i="9"/>
  <c r="K35" i="9"/>
  <c r="Y36" i="9"/>
  <c r="K36" i="9"/>
  <c r="AV12" i="9"/>
  <c r="AV11" i="9"/>
  <c r="AA9" i="9"/>
  <c r="Y9" i="9"/>
  <c r="S10" i="9"/>
  <c r="T10" i="9" s="1"/>
  <c r="W10" i="9" s="1"/>
  <c r="J11" i="9"/>
  <c r="B13" i="9"/>
  <c r="AM13" i="9" s="1"/>
  <c r="H36" i="9"/>
  <c r="J10" i="9"/>
  <c r="K10" i="9" s="1"/>
  <c r="F11" i="9"/>
  <c r="Y34" i="9"/>
  <c r="K34" i="9"/>
  <c r="H35" i="9"/>
  <c r="J37" i="9"/>
  <c r="S10" i="8"/>
  <c r="T10" i="8" s="1"/>
  <c r="W10" i="8" s="1"/>
  <c r="F10" i="8"/>
  <c r="M10" i="8" s="1"/>
  <c r="J10" i="8"/>
  <c r="K10" i="8" s="1"/>
  <c r="G11" i="8"/>
  <c r="E13" i="8"/>
  <c r="G13" i="8" s="1"/>
  <c r="G34" i="8"/>
  <c r="F11" i="8"/>
  <c r="AW12" i="8"/>
  <c r="AV13" i="8" s="1"/>
  <c r="AW18" i="8"/>
  <c r="Y11" i="8"/>
  <c r="AW14" i="8"/>
  <c r="AV14" i="8" s="1"/>
  <c r="E11" i="7"/>
  <c r="Y10" i="7"/>
  <c r="F10" i="7"/>
  <c r="I10" i="7" s="1"/>
  <c r="T10" i="7" s="1"/>
  <c r="H9" i="6"/>
  <c r="M9" i="6" s="1"/>
  <c r="AI11" i="7"/>
  <c r="AH13" i="7"/>
  <c r="AI16" i="7"/>
  <c r="AC9" i="6"/>
  <c r="AE9" i="6"/>
  <c r="L9" i="6"/>
  <c r="N9" i="6" s="1"/>
  <c r="AI17" i="6"/>
  <c r="AI12" i="6"/>
  <c r="AH12" i="6" s="1"/>
  <c r="E11" i="6"/>
  <c r="H10" i="6"/>
  <c r="B10" i="6"/>
  <c r="C10" i="6" s="1"/>
  <c r="AI10" i="6"/>
  <c r="AH11" i="6" s="1"/>
  <c r="K9" i="6"/>
  <c r="C8" i="4"/>
  <c r="F8" i="4"/>
  <c r="Y8" i="4"/>
  <c r="E8" i="4"/>
  <c r="E9" i="4" s="1"/>
  <c r="AF9" i="4" s="1"/>
  <c r="AI15" i="4"/>
  <c r="AI14" i="4"/>
  <c r="AI11" i="4"/>
  <c r="AH11" i="4" s="1"/>
  <c r="AI9" i="4"/>
  <c r="AH10" i="4" s="1"/>
  <c r="Y8" i="2"/>
  <c r="H8" i="2"/>
  <c r="K8" i="2" s="1"/>
  <c r="E9" i="2"/>
  <c r="B9" i="2" s="1"/>
  <c r="C8" i="2"/>
  <c r="AH9" i="2"/>
  <c r="AI10" i="2"/>
  <c r="AH11" i="2" s="1"/>
  <c r="W10" i="11" l="1"/>
  <c r="K10" i="11"/>
  <c r="V10" i="11"/>
  <c r="AD9" i="11"/>
  <c r="AF9" i="11" s="1"/>
  <c r="S9" i="11"/>
  <c r="T9" i="11" s="1"/>
  <c r="AA9" i="11" s="1"/>
  <c r="K35" i="11"/>
  <c r="AC35" i="11"/>
  <c r="K9" i="11"/>
  <c r="AC9" i="11"/>
  <c r="AE9" i="11"/>
  <c r="K37" i="11"/>
  <c r="AC37" i="11"/>
  <c r="H11" i="11"/>
  <c r="E13" i="11"/>
  <c r="B14" i="11"/>
  <c r="AC11" i="11"/>
  <c r="K11" i="11"/>
  <c r="F12" i="11"/>
  <c r="J12" i="11"/>
  <c r="AX12" i="11"/>
  <c r="G12" i="11"/>
  <c r="Y36" i="10"/>
  <c r="K36" i="10"/>
  <c r="K35" i="10"/>
  <c r="Y35" i="10"/>
  <c r="AA9" i="10"/>
  <c r="Y9" i="10"/>
  <c r="K9" i="10"/>
  <c r="F13" i="10"/>
  <c r="J13" i="10"/>
  <c r="AT13" i="10"/>
  <c r="G13" i="10"/>
  <c r="H10" i="10"/>
  <c r="E14" i="10"/>
  <c r="B15" i="10"/>
  <c r="F12" i="10"/>
  <c r="J12" i="10"/>
  <c r="AT12" i="10"/>
  <c r="G12" i="10"/>
  <c r="Y11" i="10"/>
  <c r="K11" i="10"/>
  <c r="H11" i="10"/>
  <c r="H9" i="10"/>
  <c r="S17" i="8"/>
  <c r="H17" i="8"/>
  <c r="H11" i="9"/>
  <c r="Y11" i="9"/>
  <c r="K11" i="9"/>
  <c r="Y12" i="9"/>
  <c r="K12" i="9"/>
  <c r="E13" i="9"/>
  <c r="B14" i="9"/>
  <c r="K37" i="9"/>
  <c r="Y37" i="9"/>
  <c r="H10" i="8"/>
  <c r="H11" i="8"/>
  <c r="G35" i="8"/>
  <c r="AV12" i="8"/>
  <c r="B11" i="7"/>
  <c r="AC10" i="7"/>
  <c r="E12" i="7"/>
  <c r="B12" i="7" s="1"/>
  <c r="AE10" i="7"/>
  <c r="AF11" i="7"/>
  <c r="F10" i="6"/>
  <c r="I10" i="6" s="1"/>
  <c r="AB10" i="6" s="1"/>
  <c r="Z10" i="6" s="1"/>
  <c r="AH10" i="6"/>
  <c r="AH12" i="7"/>
  <c r="AH11" i="7"/>
  <c r="AC10" i="6"/>
  <c r="AF11" i="6"/>
  <c r="B11" i="6"/>
  <c r="E12" i="6"/>
  <c r="H11" i="6"/>
  <c r="Y10" i="6"/>
  <c r="K10" i="6"/>
  <c r="B9" i="4"/>
  <c r="I8" i="4"/>
  <c r="L8" i="4" s="1"/>
  <c r="N8" i="4" s="1"/>
  <c r="E10" i="4"/>
  <c r="E11" i="4" s="1"/>
  <c r="C9" i="4"/>
  <c r="Y9" i="4"/>
  <c r="AH9" i="4"/>
  <c r="AE8" i="4"/>
  <c r="AC8" i="4"/>
  <c r="C9" i="2"/>
  <c r="H9" i="2"/>
  <c r="K9" i="2" s="1"/>
  <c r="I8" i="2"/>
  <c r="L8" i="2" s="1"/>
  <c r="N8" i="2" s="1"/>
  <c r="AF9" i="2"/>
  <c r="E10" i="2"/>
  <c r="B10" i="2" s="1"/>
  <c r="AH10" i="2"/>
  <c r="X10" i="11" l="1"/>
  <c r="W9" i="11"/>
  <c r="X9" i="11" s="1"/>
  <c r="F13" i="11"/>
  <c r="J13" i="11"/>
  <c r="AX13" i="11"/>
  <c r="G13" i="11"/>
  <c r="K12" i="11"/>
  <c r="AC12" i="11"/>
  <c r="H12" i="11"/>
  <c r="B15" i="11"/>
  <c r="AQ14" i="11"/>
  <c r="E14" i="11"/>
  <c r="F14" i="10"/>
  <c r="J14" i="10"/>
  <c r="AT14" i="10"/>
  <c r="G14" i="10"/>
  <c r="H14" i="10" s="1"/>
  <c r="K13" i="10"/>
  <c r="Y13" i="10"/>
  <c r="B16" i="10"/>
  <c r="E15" i="10"/>
  <c r="AM15" i="10"/>
  <c r="H13" i="10"/>
  <c r="H12" i="10"/>
  <c r="K12" i="10"/>
  <c r="Y12" i="10"/>
  <c r="T17" i="8"/>
  <c r="W17" i="8"/>
  <c r="E14" i="9"/>
  <c r="B15" i="9"/>
  <c r="AM14" i="9"/>
  <c r="J13" i="9"/>
  <c r="AT13" i="9"/>
  <c r="G13" i="9"/>
  <c r="H13" i="9" s="1"/>
  <c r="F13" i="9"/>
  <c r="G36" i="8"/>
  <c r="G37" i="8"/>
  <c r="F11" i="7"/>
  <c r="I11" i="7" s="1"/>
  <c r="C11" i="7"/>
  <c r="C12" i="7"/>
  <c r="Y11" i="7"/>
  <c r="E13" i="7"/>
  <c r="B13" i="7" s="1"/>
  <c r="AF12" i="7"/>
  <c r="M10" i="6"/>
  <c r="L10" i="6"/>
  <c r="N10" i="6" s="1"/>
  <c r="Y12" i="7"/>
  <c r="F12" i="7"/>
  <c r="K11" i="6"/>
  <c r="E13" i="6"/>
  <c r="H12" i="6"/>
  <c r="AF12" i="6"/>
  <c r="B12" i="6"/>
  <c r="Y11" i="6"/>
  <c r="C11" i="6"/>
  <c r="F11" i="6"/>
  <c r="B10" i="4"/>
  <c r="F9" i="4"/>
  <c r="I9" i="4" s="1"/>
  <c r="T8" i="4"/>
  <c r="AF10" i="4"/>
  <c r="E12" i="4"/>
  <c r="AF11" i="4"/>
  <c r="B11" i="4"/>
  <c r="C10" i="4"/>
  <c r="Y10" i="4"/>
  <c r="F9" i="2"/>
  <c r="I9" i="2" s="1"/>
  <c r="M8" i="2"/>
  <c r="Y9" i="2"/>
  <c r="AC8" i="2"/>
  <c r="AF10" i="2"/>
  <c r="H10" i="2"/>
  <c r="K10" i="2" s="1"/>
  <c r="AE8" i="2"/>
  <c r="F10" i="2"/>
  <c r="E11" i="2"/>
  <c r="B11" i="2" s="1"/>
  <c r="H13" i="11" l="1"/>
  <c r="G14" i="11"/>
  <c r="F14" i="11"/>
  <c r="AX14" i="11"/>
  <c r="J14" i="11"/>
  <c r="K13" i="11"/>
  <c r="AC13" i="11"/>
  <c r="E15" i="11"/>
  <c r="AQ15" i="11"/>
  <c r="B16" i="11"/>
  <c r="C37" i="10"/>
  <c r="C34" i="10"/>
  <c r="C36" i="10"/>
  <c r="B17" i="10"/>
  <c r="E16" i="10"/>
  <c r="C11" i="10"/>
  <c r="C16" i="10"/>
  <c r="C35" i="10"/>
  <c r="B18" i="10"/>
  <c r="N10" i="10"/>
  <c r="N9" i="10"/>
  <c r="C13" i="10"/>
  <c r="C12" i="10"/>
  <c r="C14" i="10"/>
  <c r="C15" i="10"/>
  <c r="K14" i="10"/>
  <c r="Y14" i="10"/>
  <c r="AT15" i="10"/>
  <c r="F15" i="10"/>
  <c r="J15" i="10"/>
  <c r="G15" i="10"/>
  <c r="H15" i="10" s="1"/>
  <c r="E15" i="9"/>
  <c r="B16" i="9"/>
  <c r="AM15" i="9"/>
  <c r="Y13" i="9"/>
  <c r="K13" i="9"/>
  <c r="J14" i="9"/>
  <c r="AT14" i="9"/>
  <c r="G14" i="9"/>
  <c r="H14" i="9" s="1"/>
  <c r="F14" i="9"/>
  <c r="C15" i="8"/>
  <c r="E14" i="7"/>
  <c r="B14" i="7" s="1"/>
  <c r="C13" i="7"/>
  <c r="AF13" i="7"/>
  <c r="I12" i="7"/>
  <c r="AB12" i="7" s="1"/>
  <c r="Z12" i="7" s="1"/>
  <c r="I11" i="6"/>
  <c r="M11" i="6" s="1"/>
  <c r="AC11" i="7"/>
  <c r="AB11" i="7"/>
  <c r="Z11" i="7" s="1"/>
  <c r="T11" i="7"/>
  <c r="F13" i="7"/>
  <c r="Y13" i="7"/>
  <c r="K12" i="6"/>
  <c r="C12" i="6"/>
  <c r="Y12" i="6"/>
  <c r="E16" i="6"/>
  <c r="E14" i="6"/>
  <c r="AF13" i="6"/>
  <c r="H13" i="6"/>
  <c r="B13" i="6"/>
  <c r="F13" i="6" s="1"/>
  <c r="AC11" i="6"/>
  <c r="L11" i="6"/>
  <c r="N11" i="6" s="1"/>
  <c r="AB11" i="6"/>
  <c r="Z11" i="6" s="1"/>
  <c r="F12" i="6"/>
  <c r="T9" i="4"/>
  <c r="L9" i="4"/>
  <c r="N9" i="4" s="1"/>
  <c r="AC9" i="4"/>
  <c r="AB9" i="4"/>
  <c r="Z9" i="4" s="1"/>
  <c r="F11" i="4"/>
  <c r="F10" i="4"/>
  <c r="I10" i="4" s="1"/>
  <c r="E13" i="4"/>
  <c r="AF12" i="4"/>
  <c r="B12" i="4"/>
  <c r="E14" i="4"/>
  <c r="C11" i="4"/>
  <c r="I11" i="4" s="1"/>
  <c r="Y11" i="4"/>
  <c r="E12" i="2"/>
  <c r="M9" i="2"/>
  <c r="AC9" i="2"/>
  <c r="Y10" i="2"/>
  <c r="C10" i="2"/>
  <c r="I10" i="2" s="1"/>
  <c r="M10" i="2" s="1"/>
  <c r="L9" i="2"/>
  <c r="N9" i="2" s="1"/>
  <c r="F11" i="2"/>
  <c r="H11" i="2"/>
  <c r="K11" i="2" s="1"/>
  <c r="AB9" i="2"/>
  <c r="Z9" i="2" s="1"/>
  <c r="AF11" i="2"/>
  <c r="C35" i="11" l="1"/>
  <c r="C37" i="11"/>
  <c r="C34" i="11"/>
  <c r="B18" i="11"/>
  <c r="B17" i="11"/>
  <c r="E16" i="11"/>
  <c r="C16" i="11"/>
  <c r="C36" i="11"/>
  <c r="C11" i="11"/>
  <c r="N10" i="11"/>
  <c r="N9" i="11"/>
  <c r="C12" i="11"/>
  <c r="C13" i="11"/>
  <c r="C14" i="11"/>
  <c r="AC14" i="11"/>
  <c r="K14" i="11"/>
  <c r="C15" i="11"/>
  <c r="M14" i="11"/>
  <c r="J15" i="11"/>
  <c r="AX15" i="11"/>
  <c r="G15" i="11"/>
  <c r="F15" i="11"/>
  <c r="H14" i="11"/>
  <c r="P15" i="10"/>
  <c r="Q15" i="10" s="1"/>
  <c r="V15" i="10" s="1"/>
  <c r="S15" i="10"/>
  <c r="P34" i="10"/>
  <c r="Q34" i="10" s="1"/>
  <c r="V34" i="10" s="1"/>
  <c r="S34" i="10"/>
  <c r="M34" i="10"/>
  <c r="Y15" i="10"/>
  <c r="K15" i="10"/>
  <c r="P14" i="10"/>
  <c r="Q14" i="10" s="1"/>
  <c r="V14" i="10" s="1"/>
  <c r="Q19" i="10"/>
  <c r="V19" i="10" s="1"/>
  <c r="S14" i="10"/>
  <c r="P12" i="10"/>
  <c r="Q12" i="10" s="1"/>
  <c r="V12" i="10" s="1"/>
  <c r="S12" i="10"/>
  <c r="T12" i="10" s="1"/>
  <c r="W12" i="10" s="1"/>
  <c r="M12" i="10"/>
  <c r="E18" i="10"/>
  <c r="AM18" i="10"/>
  <c r="C18" i="10"/>
  <c r="B19" i="10"/>
  <c r="E17" i="10"/>
  <c r="C17" i="10"/>
  <c r="M15" i="10"/>
  <c r="P13" i="10"/>
  <c r="Q13" i="10" s="1"/>
  <c r="V13" i="10" s="1"/>
  <c r="S13" i="10"/>
  <c r="T13" i="10" s="1"/>
  <c r="W13" i="10" s="1"/>
  <c r="M13" i="10"/>
  <c r="P35" i="10"/>
  <c r="Q35" i="10" s="1"/>
  <c r="V35" i="10" s="1"/>
  <c r="S35" i="10"/>
  <c r="M35" i="10"/>
  <c r="S11" i="10"/>
  <c r="T11" i="10" s="1"/>
  <c r="W11" i="10" s="1"/>
  <c r="P11" i="10"/>
  <c r="Q11" i="10" s="1"/>
  <c r="V11" i="10" s="1"/>
  <c r="M11" i="10"/>
  <c r="S36" i="10"/>
  <c r="P36" i="10"/>
  <c r="Q36" i="10" s="1"/>
  <c r="V36" i="10" s="1"/>
  <c r="M36" i="10"/>
  <c r="S37" i="10"/>
  <c r="P37" i="10"/>
  <c r="Q37" i="10" s="1"/>
  <c r="V37" i="10" s="1"/>
  <c r="M37" i="10"/>
  <c r="J16" i="10"/>
  <c r="G16" i="10"/>
  <c r="H16" i="10" s="1"/>
  <c r="F16" i="10"/>
  <c r="M16" i="10" s="1"/>
  <c r="M14" i="10"/>
  <c r="C35" i="9"/>
  <c r="C36" i="9"/>
  <c r="C37" i="9"/>
  <c r="C34" i="9"/>
  <c r="B17" i="9"/>
  <c r="E16" i="9"/>
  <c r="N9" i="9"/>
  <c r="C16" i="9"/>
  <c r="N10" i="9"/>
  <c r="C11" i="9"/>
  <c r="C12" i="9"/>
  <c r="C13" i="9"/>
  <c r="C14" i="9"/>
  <c r="C15" i="9"/>
  <c r="Y14" i="9"/>
  <c r="K14" i="9"/>
  <c r="M14" i="9"/>
  <c r="J15" i="9"/>
  <c r="AT15" i="9"/>
  <c r="G15" i="9"/>
  <c r="F15" i="9"/>
  <c r="C34" i="8"/>
  <c r="C16" i="8"/>
  <c r="C37" i="8"/>
  <c r="C11" i="8"/>
  <c r="C35" i="8"/>
  <c r="C36" i="8"/>
  <c r="C12" i="8"/>
  <c r="E16" i="8"/>
  <c r="C13" i="8"/>
  <c r="C14" i="8"/>
  <c r="N10" i="8"/>
  <c r="C14" i="7"/>
  <c r="E16" i="7"/>
  <c r="B16" i="7" s="1"/>
  <c r="AF14" i="7"/>
  <c r="E15" i="7"/>
  <c r="B15" i="7"/>
  <c r="T12" i="7"/>
  <c r="AC12" i="7"/>
  <c r="Y14" i="7"/>
  <c r="F14" i="7"/>
  <c r="H12" i="7"/>
  <c r="E17" i="7"/>
  <c r="B17" i="7" s="1"/>
  <c r="I13" i="7"/>
  <c r="I12" i="6"/>
  <c r="Y13" i="6"/>
  <c r="C13" i="6"/>
  <c r="I13" i="6" s="1"/>
  <c r="B14" i="6"/>
  <c r="H14" i="6"/>
  <c r="K13" i="6"/>
  <c r="AF16" i="6"/>
  <c r="B16" i="6"/>
  <c r="E17" i="6"/>
  <c r="H16" i="6"/>
  <c r="L10" i="4"/>
  <c r="N10" i="4" s="1"/>
  <c r="T10" i="4"/>
  <c r="AC10" i="4"/>
  <c r="AB10" i="4"/>
  <c r="Z10" i="4" s="1"/>
  <c r="F12" i="4"/>
  <c r="L11" i="4"/>
  <c r="N11" i="4" s="1"/>
  <c r="AF14" i="4"/>
  <c r="E15" i="4"/>
  <c r="B14" i="4"/>
  <c r="B13" i="4"/>
  <c r="AB11" i="4"/>
  <c r="Z11" i="4" s="1"/>
  <c r="T11" i="4"/>
  <c r="AC11" i="4"/>
  <c r="C12" i="4"/>
  <c r="I12" i="4" s="1"/>
  <c r="L12" i="4" s="1"/>
  <c r="Y12" i="4"/>
  <c r="E15" i="2"/>
  <c r="B15" i="2" s="1"/>
  <c r="B12" i="2"/>
  <c r="F12" i="2" s="1"/>
  <c r="AF12" i="2"/>
  <c r="H12" i="2"/>
  <c r="K12" i="2" s="1"/>
  <c r="E13" i="2"/>
  <c r="B13" i="2" s="1"/>
  <c r="C11" i="2"/>
  <c r="I11" i="2" s="1"/>
  <c r="Y11" i="2"/>
  <c r="AC10" i="2"/>
  <c r="L10" i="2"/>
  <c r="N10" i="2" s="1"/>
  <c r="AB10" i="2"/>
  <c r="Z10" i="2" s="1"/>
  <c r="N14" i="11" l="1"/>
  <c r="M15" i="11"/>
  <c r="H15" i="11"/>
  <c r="AE14" i="11"/>
  <c r="S37" i="11"/>
  <c r="P37" i="11"/>
  <c r="Q37" i="11" s="1"/>
  <c r="Z37" i="11" s="1"/>
  <c r="M37" i="11"/>
  <c r="P15" i="11"/>
  <c r="Q15" i="11" s="1"/>
  <c r="Z15" i="11" s="1"/>
  <c r="S15" i="11"/>
  <c r="P12" i="11"/>
  <c r="S12" i="11"/>
  <c r="T12" i="11" s="1"/>
  <c r="AA12" i="11" s="1"/>
  <c r="M12" i="11"/>
  <c r="P11" i="11"/>
  <c r="S11" i="11"/>
  <c r="T11" i="11" s="1"/>
  <c r="AA11" i="11" s="1"/>
  <c r="M11" i="11"/>
  <c r="W11" i="11" s="1"/>
  <c r="AC15" i="11"/>
  <c r="K15" i="11"/>
  <c r="P14" i="11"/>
  <c r="S14" i="11"/>
  <c r="W14" i="11" s="1"/>
  <c r="B19" i="11"/>
  <c r="E18" i="11"/>
  <c r="AQ18" i="11"/>
  <c r="C18" i="11"/>
  <c r="P35" i="11"/>
  <c r="Q35" i="11" s="1"/>
  <c r="Z35" i="11" s="1"/>
  <c r="M35" i="11"/>
  <c r="S35" i="11"/>
  <c r="C17" i="11"/>
  <c r="E17" i="11"/>
  <c r="AD15" i="11"/>
  <c r="AF15" i="11" s="1"/>
  <c r="AT15" i="11"/>
  <c r="AR15" i="11" s="1"/>
  <c r="AU14" i="11"/>
  <c r="AD14" i="11"/>
  <c r="AF14" i="11" s="1"/>
  <c r="S13" i="11"/>
  <c r="T13" i="11" s="1"/>
  <c r="AA13" i="11" s="1"/>
  <c r="P13" i="11"/>
  <c r="M13" i="11"/>
  <c r="P36" i="11"/>
  <c r="Q36" i="11" s="1"/>
  <c r="Z36" i="11" s="1"/>
  <c r="S36" i="11"/>
  <c r="M36" i="11"/>
  <c r="F16" i="11"/>
  <c r="M16" i="11" s="1"/>
  <c r="J16" i="11"/>
  <c r="G16" i="11"/>
  <c r="S34" i="11"/>
  <c r="P34" i="11"/>
  <c r="Q34" i="11" s="1"/>
  <c r="Z34" i="11" s="1"/>
  <c r="M34" i="11"/>
  <c r="T37" i="10"/>
  <c r="W37" i="10"/>
  <c r="Z35" i="10"/>
  <c r="AB35" i="10" s="1"/>
  <c r="AA35" i="10"/>
  <c r="N35" i="10"/>
  <c r="P17" i="10"/>
  <c r="Y16" i="10"/>
  <c r="K16" i="10"/>
  <c r="AA16" i="10"/>
  <c r="Z36" i="10"/>
  <c r="AB36" i="10" s="1"/>
  <c r="AA36" i="10"/>
  <c r="N36" i="10"/>
  <c r="Z37" i="10"/>
  <c r="AB37" i="10" s="1"/>
  <c r="AA37" i="10"/>
  <c r="N37" i="10"/>
  <c r="F18" i="10"/>
  <c r="G18" i="10"/>
  <c r="H18" i="10" s="1"/>
  <c r="AT18" i="10"/>
  <c r="M18" i="10"/>
  <c r="J18" i="10"/>
  <c r="Z34" i="10"/>
  <c r="AB34" i="10" s="1"/>
  <c r="AA34" i="10"/>
  <c r="N34" i="10"/>
  <c r="P16" i="10"/>
  <c r="Q21" i="10" s="1"/>
  <c r="Z11" i="10"/>
  <c r="AB11" i="10" s="1"/>
  <c r="AQ11" i="10"/>
  <c r="AS11" i="10"/>
  <c r="AA11" i="10"/>
  <c r="N11" i="10"/>
  <c r="Q23" i="10"/>
  <c r="P18" i="10"/>
  <c r="AP12" i="10"/>
  <c r="AN12" i="10" s="1"/>
  <c r="Z12" i="10"/>
  <c r="AB12" i="10" s="1"/>
  <c r="AQ12" i="10"/>
  <c r="AA12" i="10"/>
  <c r="N12" i="10"/>
  <c r="W14" i="10"/>
  <c r="T14" i="10"/>
  <c r="W35" i="10"/>
  <c r="T35" i="10"/>
  <c r="G17" i="10"/>
  <c r="H17" i="10" s="1"/>
  <c r="F17" i="10"/>
  <c r="M17" i="10" s="1"/>
  <c r="N17" i="10" s="1"/>
  <c r="O17" i="10" s="1"/>
  <c r="J17" i="10"/>
  <c r="K17" i="10" s="1"/>
  <c r="S16" i="10"/>
  <c r="T15" i="10"/>
  <c r="W15" i="10"/>
  <c r="AP14" i="10"/>
  <c r="AN14" i="10" s="1"/>
  <c r="Z14" i="10"/>
  <c r="AB14" i="10" s="1"/>
  <c r="AQ14" i="10"/>
  <c r="N14" i="10"/>
  <c r="AA14" i="10"/>
  <c r="Q16" i="10"/>
  <c r="V16" i="10" s="1"/>
  <c r="Q18" i="10"/>
  <c r="V18" i="10" s="1"/>
  <c r="Z16" i="10"/>
  <c r="AB16" i="10" s="1"/>
  <c r="N16" i="10"/>
  <c r="O16" i="10" s="1"/>
  <c r="W36" i="10"/>
  <c r="T36" i="10"/>
  <c r="AP13" i="10"/>
  <c r="AN13" i="10" s="1"/>
  <c r="Z13" i="10"/>
  <c r="AB13" i="10" s="1"/>
  <c r="AQ13" i="10"/>
  <c r="AA13" i="10"/>
  <c r="N13" i="10"/>
  <c r="Z15" i="10"/>
  <c r="AB15" i="10" s="1"/>
  <c r="AP15" i="10"/>
  <c r="AN15" i="10" s="1"/>
  <c r="AQ15" i="10"/>
  <c r="N15" i="10"/>
  <c r="B20" i="10"/>
  <c r="C19" i="10"/>
  <c r="E19" i="10"/>
  <c r="AM19" i="10"/>
  <c r="Q17" i="10"/>
  <c r="V17" i="10" s="1"/>
  <c r="AA15" i="10"/>
  <c r="T34" i="10"/>
  <c r="W34" i="10"/>
  <c r="Q20" i="10"/>
  <c r="V20" i="10" s="1"/>
  <c r="P15" i="9"/>
  <c r="Q15" i="9" s="1"/>
  <c r="V15" i="9" s="1"/>
  <c r="S15" i="9"/>
  <c r="Z14" i="9"/>
  <c r="AB14" i="9" s="1"/>
  <c r="AQ14" i="9"/>
  <c r="AA14" i="9"/>
  <c r="S11" i="9"/>
  <c r="T11" i="9" s="1"/>
  <c r="W11" i="9" s="1"/>
  <c r="P11" i="9"/>
  <c r="Q11" i="9" s="1"/>
  <c r="V11" i="9" s="1"/>
  <c r="Q16" i="9"/>
  <c r="V16" i="9" s="1"/>
  <c r="M11" i="9"/>
  <c r="P36" i="9"/>
  <c r="Q36" i="9" s="1"/>
  <c r="V36" i="9" s="1"/>
  <c r="S36" i="9"/>
  <c r="M36" i="9"/>
  <c r="H15" i="9"/>
  <c r="P14" i="9"/>
  <c r="Q14" i="9" s="1"/>
  <c r="V14" i="9" s="1"/>
  <c r="S14" i="9"/>
  <c r="P12" i="9"/>
  <c r="Q12" i="9" s="1"/>
  <c r="V12" i="9" s="1"/>
  <c r="Q17" i="9"/>
  <c r="V17" i="9" s="1"/>
  <c r="S12" i="9"/>
  <c r="T12" i="9" s="1"/>
  <c r="W12" i="9" s="1"/>
  <c r="M12" i="9"/>
  <c r="F16" i="9"/>
  <c r="M16" i="9" s="1"/>
  <c r="J16" i="9"/>
  <c r="G16" i="9"/>
  <c r="P37" i="9"/>
  <c r="Q37" i="9" s="1"/>
  <c r="V37" i="9" s="1"/>
  <c r="S37" i="9"/>
  <c r="M37" i="9"/>
  <c r="S35" i="9"/>
  <c r="P35" i="9"/>
  <c r="Q35" i="9" s="1"/>
  <c r="V35" i="9" s="1"/>
  <c r="M35" i="9"/>
  <c r="M15" i="9"/>
  <c r="P13" i="9"/>
  <c r="Q13" i="9" s="1"/>
  <c r="V13" i="9" s="1"/>
  <c r="S13" i="9"/>
  <c r="T13" i="9" s="1"/>
  <c r="W13" i="9" s="1"/>
  <c r="Q18" i="9"/>
  <c r="V18" i="9" s="1"/>
  <c r="M13" i="9"/>
  <c r="S34" i="9"/>
  <c r="P34" i="9"/>
  <c r="Q34" i="9" s="1"/>
  <c r="V34" i="9" s="1"/>
  <c r="M34" i="9"/>
  <c r="AA15" i="9"/>
  <c r="Y15" i="9"/>
  <c r="K15" i="9"/>
  <c r="N14" i="9"/>
  <c r="P16" i="9"/>
  <c r="Q21" i="9" s="1"/>
  <c r="S16" i="9"/>
  <c r="C17" i="9"/>
  <c r="B18" i="9"/>
  <c r="E17" i="9"/>
  <c r="AM17" i="9"/>
  <c r="L10" i="7"/>
  <c r="L11" i="7"/>
  <c r="L12" i="7"/>
  <c r="N12" i="7" s="1"/>
  <c r="L13" i="7"/>
  <c r="N13" i="7" s="1"/>
  <c r="H11" i="7"/>
  <c r="H13" i="7"/>
  <c r="AF16" i="7"/>
  <c r="H15" i="7"/>
  <c r="F15" i="7"/>
  <c r="R7" i="7" s="1"/>
  <c r="H14" i="7"/>
  <c r="K14" i="7" s="1"/>
  <c r="H10" i="7"/>
  <c r="K10" i="7" s="1"/>
  <c r="K15" i="7"/>
  <c r="N10" i="7"/>
  <c r="K12" i="7"/>
  <c r="K11" i="7"/>
  <c r="K13" i="7"/>
  <c r="N11" i="7"/>
  <c r="C15" i="7"/>
  <c r="C16" i="7"/>
  <c r="M13" i="7"/>
  <c r="H16" i="7"/>
  <c r="F16" i="7"/>
  <c r="Y16" i="7"/>
  <c r="M11" i="7"/>
  <c r="I14" i="7"/>
  <c r="L14" i="7" s="1"/>
  <c r="M12" i="7"/>
  <c r="AC13" i="7"/>
  <c r="AB13" i="7"/>
  <c r="Z13" i="7" s="1"/>
  <c r="T13" i="7"/>
  <c r="E18" i="7"/>
  <c r="B18" i="7" s="1"/>
  <c r="AF17" i="7"/>
  <c r="M10" i="7"/>
  <c r="C36" i="6"/>
  <c r="C14" i="6"/>
  <c r="C33" i="6"/>
  <c r="C35" i="6"/>
  <c r="C34" i="6"/>
  <c r="C16" i="6"/>
  <c r="Y16" i="6"/>
  <c r="AC13" i="6"/>
  <c r="L13" i="6"/>
  <c r="N13" i="6" s="1"/>
  <c r="AB13" i="6"/>
  <c r="Z13" i="6" s="1"/>
  <c r="K16" i="6"/>
  <c r="F16" i="6"/>
  <c r="F14" i="6"/>
  <c r="H17" i="6"/>
  <c r="AF17" i="6"/>
  <c r="E18" i="6"/>
  <c r="B17" i="6"/>
  <c r="M13" i="6"/>
  <c r="K14" i="6"/>
  <c r="AB12" i="6"/>
  <c r="Z12" i="6" s="1"/>
  <c r="AC12" i="6"/>
  <c r="L12" i="6"/>
  <c r="N12" i="6" s="1"/>
  <c r="M12" i="6"/>
  <c r="H8" i="4"/>
  <c r="H13" i="4"/>
  <c r="H9" i="4"/>
  <c r="H10" i="4"/>
  <c r="H11" i="4"/>
  <c r="H14" i="4"/>
  <c r="H12" i="4"/>
  <c r="F13" i="4"/>
  <c r="H34" i="4"/>
  <c r="H33" i="4"/>
  <c r="H31" i="4"/>
  <c r="H32" i="4"/>
  <c r="F14" i="4"/>
  <c r="AC12" i="4"/>
  <c r="N12" i="4"/>
  <c r="T12" i="4"/>
  <c r="AB12" i="4"/>
  <c r="Z12" i="4" s="1"/>
  <c r="E16" i="4"/>
  <c r="AF15" i="4"/>
  <c r="B15" i="4"/>
  <c r="H15" i="4" s="1"/>
  <c r="C14" i="4"/>
  <c r="Y14" i="4"/>
  <c r="C34" i="4"/>
  <c r="I34" i="4" s="1"/>
  <c r="C33" i="4"/>
  <c r="I33" i="4" s="1"/>
  <c r="C13" i="4"/>
  <c r="C32" i="4"/>
  <c r="I32" i="4" s="1"/>
  <c r="C31" i="4"/>
  <c r="I31" i="4" s="1"/>
  <c r="Y15" i="2"/>
  <c r="C15" i="2"/>
  <c r="F15" i="2"/>
  <c r="AF15" i="2"/>
  <c r="H15" i="2"/>
  <c r="K15" i="2" s="1"/>
  <c r="H13" i="2"/>
  <c r="K13" i="2" s="1"/>
  <c r="E16" i="2"/>
  <c r="B16" i="2" s="1"/>
  <c r="Y12" i="2"/>
  <c r="C12" i="2"/>
  <c r="I12" i="2" s="1"/>
  <c r="F13" i="2"/>
  <c r="AB11" i="2"/>
  <c r="Z11" i="2" s="1"/>
  <c r="M11" i="2"/>
  <c r="C13" i="2"/>
  <c r="C35" i="2"/>
  <c r="C33" i="2"/>
  <c r="C32" i="2"/>
  <c r="C34" i="2"/>
  <c r="AC11" i="2"/>
  <c r="L11" i="2"/>
  <c r="N11" i="2" s="1"/>
  <c r="N15" i="11" l="1"/>
  <c r="W15" i="11"/>
  <c r="X15" i="11" s="1"/>
  <c r="W16" i="11"/>
  <c r="AT14" i="11"/>
  <c r="AR14" i="11" s="1"/>
  <c r="W13" i="11"/>
  <c r="X13" i="11" s="1"/>
  <c r="AE15" i="11"/>
  <c r="W12" i="11"/>
  <c r="Q12" i="11"/>
  <c r="Z12" i="11" s="1"/>
  <c r="V12" i="11"/>
  <c r="Q13" i="11"/>
  <c r="Z13" i="11" s="1"/>
  <c r="V13" i="11"/>
  <c r="Q14" i="11"/>
  <c r="Z14" i="11" s="1"/>
  <c r="V14" i="11"/>
  <c r="X14" i="11" s="1"/>
  <c r="P16" i="11"/>
  <c r="Q21" i="11" s="1"/>
  <c r="V16" i="11"/>
  <c r="Q11" i="11"/>
  <c r="Z11" i="11" s="1"/>
  <c r="V11" i="11"/>
  <c r="X11" i="11" s="1"/>
  <c r="V15" i="11"/>
  <c r="AU15" i="11"/>
  <c r="H16" i="11"/>
  <c r="Q19" i="11"/>
  <c r="Z19" i="11" s="1"/>
  <c r="G17" i="11"/>
  <c r="F17" i="11"/>
  <c r="M17" i="11" s="1"/>
  <c r="J17" i="11"/>
  <c r="AD37" i="11"/>
  <c r="AF37" i="11" s="1"/>
  <c r="AE37" i="11"/>
  <c r="N37" i="11"/>
  <c r="AD34" i="11"/>
  <c r="AF34" i="11" s="1"/>
  <c r="AE34" i="11"/>
  <c r="N34" i="11"/>
  <c r="AE16" i="11"/>
  <c r="K16" i="11"/>
  <c r="AC16" i="11"/>
  <c r="Q18" i="11"/>
  <c r="Z18" i="11" s="1"/>
  <c r="S17" i="11"/>
  <c r="P17" i="11"/>
  <c r="AX18" i="11"/>
  <c r="M18" i="11"/>
  <c r="G18" i="11"/>
  <c r="S18" i="11" s="1"/>
  <c r="F18" i="11"/>
  <c r="J18" i="11"/>
  <c r="S16" i="11"/>
  <c r="AD11" i="11"/>
  <c r="AF11" i="11" s="1"/>
  <c r="AU11" i="11"/>
  <c r="AW11" i="11"/>
  <c r="AE11" i="11"/>
  <c r="N11" i="11"/>
  <c r="AT12" i="11"/>
  <c r="AR12" i="11" s="1"/>
  <c r="AU12" i="11"/>
  <c r="AD12" i="11"/>
  <c r="AF12" i="11" s="1"/>
  <c r="AE12" i="11"/>
  <c r="N12" i="11"/>
  <c r="T15" i="11"/>
  <c r="AA15" i="11"/>
  <c r="T34" i="11"/>
  <c r="AA34" i="11"/>
  <c r="AD36" i="11"/>
  <c r="AF36" i="11" s="1"/>
  <c r="AE36" i="11"/>
  <c r="N36" i="11"/>
  <c r="T35" i="11"/>
  <c r="AA35" i="11"/>
  <c r="AA36" i="11"/>
  <c r="T36" i="11"/>
  <c r="AD35" i="11"/>
  <c r="AF35" i="11" s="1"/>
  <c r="AE35" i="11"/>
  <c r="N35" i="11"/>
  <c r="AA14" i="11"/>
  <c r="T14" i="11"/>
  <c r="Q17" i="11"/>
  <c r="Z17" i="11" s="1"/>
  <c r="AD16" i="11"/>
  <c r="AF16" i="11" s="1"/>
  <c r="N16" i="11"/>
  <c r="O16" i="11" s="1"/>
  <c r="AT13" i="11"/>
  <c r="AR13" i="11" s="1"/>
  <c r="AU13" i="11"/>
  <c r="AD13" i="11"/>
  <c r="AF13" i="11" s="1"/>
  <c r="AE13" i="11"/>
  <c r="N13" i="11"/>
  <c r="P18" i="11"/>
  <c r="Q23" i="11" s="1"/>
  <c r="E19" i="11"/>
  <c r="B20" i="11"/>
  <c r="AQ19" i="11"/>
  <c r="C19" i="11"/>
  <c r="Q16" i="11"/>
  <c r="Z16" i="11" s="1"/>
  <c r="Q20" i="11"/>
  <c r="Z20" i="11" s="1"/>
  <c r="AA37" i="11"/>
  <c r="T37" i="11"/>
  <c r="S19" i="10"/>
  <c r="AM20" i="10"/>
  <c r="C20" i="10"/>
  <c r="B21" i="10"/>
  <c r="E20" i="10"/>
  <c r="K18" i="10"/>
  <c r="AA18" i="10"/>
  <c r="Y18" i="10"/>
  <c r="T16" i="10"/>
  <c r="W16" i="10"/>
  <c r="S17" i="10"/>
  <c r="G19" i="10"/>
  <c r="AT19" i="10"/>
  <c r="M19" i="10"/>
  <c r="F19" i="10"/>
  <c r="J19" i="10"/>
  <c r="S18" i="10"/>
  <c r="AQ18" i="10"/>
  <c r="Z18" i="10"/>
  <c r="AB18" i="10" s="1"/>
  <c r="N18" i="10"/>
  <c r="Z13" i="9"/>
  <c r="AB13" i="9" s="1"/>
  <c r="AQ13" i="9"/>
  <c r="AP13" i="9"/>
  <c r="AN13" i="9" s="1"/>
  <c r="AA13" i="9"/>
  <c r="N13" i="9"/>
  <c r="AA16" i="9"/>
  <c r="K16" i="9"/>
  <c r="Y16" i="9"/>
  <c r="AT17" i="9"/>
  <c r="M17" i="9"/>
  <c r="G17" i="9"/>
  <c r="H17" i="9" s="1"/>
  <c r="F17" i="9"/>
  <c r="J17" i="9"/>
  <c r="W37" i="9"/>
  <c r="T37" i="9"/>
  <c r="Z16" i="9"/>
  <c r="AB16" i="9" s="1"/>
  <c r="N16" i="9"/>
  <c r="O16" i="9" s="1"/>
  <c r="T14" i="9"/>
  <c r="W14" i="9"/>
  <c r="Z36" i="9"/>
  <c r="AB36" i="9" s="1"/>
  <c r="AA36" i="9"/>
  <c r="N36" i="9"/>
  <c r="AP14" i="9"/>
  <c r="AN14" i="9" s="1"/>
  <c r="Z15" i="9"/>
  <c r="AB15" i="9" s="1"/>
  <c r="AQ15" i="9"/>
  <c r="AP15" i="9"/>
  <c r="AN15" i="9" s="1"/>
  <c r="N15" i="9"/>
  <c r="Z37" i="9"/>
  <c r="AB37" i="9" s="1"/>
  <c r="AA37" i="9"/>
  <c r="N37" i="9"/>
  <c r="Z34" i="9"/>
  <c r="AB34" i="9" s="1"/>
  <c r="AA34" i="9"/>
  <c r="N34" i="9"/>
  <c r="Z35" i="9"/>
  <c r="AB35" i="9" s="1"/>
  <c r="AA35" i="9"/>
  <c r="N35" i="9"/>
  <c r="AS11" i="9"/>
  <c r="AQ11" i="9"/>
  <c r="Z11" i="9"/>
  <c r="AB11" i="9" s="1"/>
  <c r="AA11" i="9"/>
  <c r="N11" i="9"/>
  <c r="T15" i="9"/>
  <c r="W15" i="9"/>
  <c r="B19" i="9"/>
  <c r="E18" i="9"/>
  <c r="C18" i="9"/>
  <c r="AM18" i="9"/>
  <c r="T16" i="9"/>
  <c r="W16" i="9"/>
  <c r="Z12" i="9"/>
  <c r="AB12" i="9" s="1"/>
  <c r="AQ12" i="9"/>
  <c r="AP12" i="9"/>
  <c r="AN12" i="9" s="1"/>
  <c r="AA12" i="9"/>
  <c r="N12" i="9"/>
  <c r="P17" i="9"/>
  <c r="Q22" i="9" s="1"/>
  <c r="W34" i="9"/>
  <c r="T34" i="9"/>
  <c r="T35" i="9"/>
  <c r="W35" i="9"/>
  <c r="H16" i="9"/>
  <c r="Q19" i="9"/>
  <c r="V19" i="9" s="1"/>
  <c r="T36" i="9"/>
  <c r="W36" i="9"/>
  <c r="Q20" i="9"/>
  <c r="C18" i="8"/>
  <c r="E18" i="8"/>
  <c r="M18" i="8" s="1"/>
  <c r="B19" i="8"/>
  <c r="L16" i="7"/>
  <c r="I15" i="7"/>
  <c r="R6" i="7" s="1"/>
  <c r="R8" i="7" s="1"/>
  <c r="M15" i="7"/>
  <c r="T15" i="7"/>
  <c r="I16" i="7"/>
  <c r="I14" i="6"/>
  <c r="L14" i="6" s="1"/>
  <c r="N14" i="6" s="1"/>
  <c r="M14" i="6"/>
  <c r="AC14" i="7"/>
  <c r="N14" i="7"/>
  <c r="AB14" i="7"/>
  <c r="Z14" i="7" s="1"/>
  <c r="T14" i="7"/>
  <c r="M14" i="7"/>
  <c r="H17" i="7"/>
  <c r="K17" i="7" s="1"/>
  <c r="F17" i="7"/>
  <c r="C17" i="7"/>
  <c r="Y17" i="7"/>
  <c r="AF18" i="7"/>
  <c r="E19" i="7"/>
  <c r="B19" i="7" s="1"/>
  <c r="C17" i="6"/>
  <c r="Y17" i="6"/>
  <c r="K17" i="6"/>
  <c r="F17" i="6"/>
  <c r="H18" i="6"/>
  <c r="E19" i="6"/>
  <c r="AF18" i="6"/>
  <c r="B18" i="6"/>
  <c r="F18" i="6" s="1"/>
  <c r="I16" i="6"/>
  <c r="K32" i="4"/>
  <c r="M32" i="4"/>
  <c r="M31" i="4"/>
  <c r="K31" i="4"/>
  <c r="M9" i="4"/>
  <c r="I13" i="4"/>
  <c r="L13" i="4" s="1"/>
  <c r="N13" i="4" s="1"/>
  <c r="M12" i="4"/>
  <c r="K33" i="4"/>
  <c r="M33" i="4"/>
  <c r="K14" i="4"/>
  <c r="M10" i="4"/>
  <c r="K15" i="4"/>
  <c r="K34" i="4"/>
  <c r="M34" i="4"/>
  <c r="M11" i="4"/>
  <c r="M8" i="4"/>
  <c r="F15" i="4"/>
  <c r="I14" i="4"/>
  <c r="L14" i="4" s="1"/>
  <c r="I15" i="2"/>
  <c r="M15" i="2" s="1"/>
  <c r="T13" i="4"/>
  <c r="M13" i="4"/>
  <c r="E17" i="4"/>
  <c r="AF16" i="4"/>
  <c r="B16" i="4"/>
  <c r="H16" i="4" s="1"/>
  <c r="C15" i="4"/>
  <c r="Y15" i="4"/>
  <c r="AB15" i="2"/>
  <c r="Z15" i="2" s="1"/>
  <c r="L15" i="2"/>
  <c r="N15" i="2" s="1"/>
  <c r="AC15" i="2"/>
  <c r="AF16" i="2"/>
  <c r="F16" i="2"/>
  <c r="E17" i="2"/>
  <c r="E18" i="2" s="1"/>
  <c r="H16" i="2"/>
  <c r="K16" i="2" s="1"/>
  <c r="I13" i="2"/>
  <c r="M13" i="2" s="1"/>
  <c r="L12" i="2"/>
  <c r="N12" i="2" s="1"/>
  <c r="M12" i="2"/>
  <c r="AC12" i="2"/>
  <c r="AB12" i="2"/>
  <c r="Z12" i="2" s="1"/>
  <c r="B17" i="2"/>
  <c r="F17" i="2" s="1"/>
  <c r="X12" i="11" l="1"/>
  <c r="X16" i="11"/>
  <c r="N17" i="11"/>
  <c r="O17" i="11" s="1"/>
  <c r="W17" i="11"/>
  <c r="X17" i="11" s="1"/>
  <c r="K17" i="11"/>
  <c r="V17" i="11"/>
  <c r="AA18" i="11"/>
  <c r="T18" i="11"/>
  <c r="H18" i="11"/>
  <c r="B21" i="11"/>
  <c r="C20" i="11"/>
  <c r="E20" i="11"/>
  <c r="AQ20" i="11"/>
  <c r="T16" i="11"/>
  <c r="AA16" i="11"/>
  <c r="AU18" i="11"/>
  <c r="AD18" i="11"/>
  <c r="AF18" i="11" s="1"/>
  <c r="N18" i="11"/>
  <c r="AA17" i="11"/>
  <c r="T17" i="11"/>
  <c r="J19" i="11"/>
  <c r="AX19" i="11"/>
  <c r="M19" i="11"/>
  <c r="G19" i="11"/>
  <c r="S19" i="11" s="1"/>
  <c r="W19" i="11" s="1"/>
  <c r="X19" i="11" s="1"/>
  <c r="F19" i="11"/>
  <c r="AC18" i="11"/>
  <c r="K18" i="11"/>
  <c r="AE18" i="11"/>
  <c r="H17" i="11"/>
  <c r="W17" i="10"/>
  <c r="T17" i="10"/>
  <c r="Z19" i="10"/>
  <c r="AB19" i="10" s="1"/>
  <c r="AQ19" i="10"/>
  <c r="N19" i="10"/>
  <c r="T19" i="10"/>
  <c r="W19" i="10"/>
  <c r="W18" i="10"/>
  <c r="T18" i="10"/>
  <c r="B22" i="10"/>
  <c r="C21" i="10"/>
  <c r="E21" i="10"/>
  <c r="AM21" i="10"/>
  <c r="AT20" i="10"/>
  <c r="G20" i="10"/>
  <c r="H20" i="10" s="1"/>
  <c r="J20" i="10"/>
  <c r="F20" i="10"/>
  <c r="M20" i="10" s="1"/>
  <c r="Y19" i="10"/>
  <c r="K19" i="10"/>
  <c r="AA19" i="10"/>
  <c r="H19" i="10"/>
  <c r="V21" i="10"/>
  <c r="S20" i="10"/>
  <c r="P20" i="10"/>
  <c r="Q25" i="10"/>
  <c r="P19" i="10"/>
  <c r="Q24" i="10" s="1"/>
  <c r="S17" i="9"/>
  <c r="J18" i="9"/>
  <c r="AT18" i="9"/>
  <c r="M18" i="9"/>
  <c r="G18" i="9"/>
  <c r="F18" i="9"/>
  <c r="Y17" i="9"/>
  <c r="K17" i="9"/>
  <c r="AA17" i="9"/>
  <c r="P18" i="9"/>
  <c r="Q23" i="9" s="1"/>
  <c r="S18" i="9"/>
  <c r="Z17" i="9"/>
  <c r="AB17" i="9" s="1"/>
  <c r="AQ17" i="9"/>
  <c r="AP17" i="9"/>
  <c r="AN17" i="9" s="1"/>
  <c r="N17" i="9"/>
  <c r="E19" i="9"/>
  <c r="C19" i="9"/>
  <c r="AM19" i="9"/>
  <c r="B20" i="9"/>
  <c r="C19" i="8"/>
  <c r="B20" i="8"/>
  <c r="E19" i="8"/>
  <c r="L15" i="7"/>
  <c r="N15" i="7" s="1"/>
  <c r="M16" i="7"/>
  <c r="K16" i="7"/>
  <c r="AC16" i="7"/>
  <c r="AB16" i="7"/>
  <c r="Z16" i="7" s="1"/>
  <c r="T16" i="7"/>
  <c r="N16" i="7"/>
  <c r="I17" i="6"/>
  <c r="M17" i="6" s="1"/>
  <c r="F18" i="7"/>
  <c r="C18" i="7"/>
  <c r="H18" i="7"/>
  <c r="K18" i="7" s="1"/>
  <c r="Y18" i="7"/>
  <c r="AF19" i="7"/>
  <c r="E20" i="7"/>
  <c r="B20" i="7" s="1"/>
  <c r="I17" i="7"/>
  <c r="L17" i="7" s="1"/>
  <c r="C18" i="6"/>
  <c r="I18" i="6" s="1"/>
  <c r="M18" i="6" s="1"/>
  <c r="Y18" i="6"/>
  <c r="K18" i="6"/>
  <c r="AB16" i="6"/>
  <c r="Z16" i="6" s="1"/>
  <c r="AC16" i="6"/>
  <c r="L16" i="6"/>
  <c r="N16" i="6" s="1"/>
  <c r="M16" i="6"/>
  <c r="E20" i="6"/>
  <c r="AF19" i="6"/>
  <c r="H19" i="6"/>
  <c r="B19" i="6"/>
  <c r="AC17" i="6"/>
  <c r="K16" i="4"/>
  <c r="M14" i="4"/>
  <c r="F16" i="4"/>
  <c r="I15" i="4"/>
  <c r="M15" i="4" s="1"/>
  <c r="C16" i="4"/>
  <c r="Y16" i="4"/>
  <c r="E18" i="4"/>
  <c r="AF17" i="4"/>
  <c r="B17" i="4"/>
  <c r="H17" i="4" s="1"/>
  <c r="AB14" i="4"/>
  <c r="Z14" i="4" s="1"/>
  <c r="T14" i="4"/>
  <c r="AC14" i="4"/>
  <c r="N14" i="4"/>
  <c r="Y16" i="2"/>
  <c r="C16" i="2"/>
  <c r="I16" i="2" s="1"/>
  <c r="M16" i="2" s="1"/>
  <c r="L13" i="2"/>
  <c r="N13" i="2" s="1"/>
  <c r="AF17" i="2"/>
  <c r="H17" i="2"/>
  <c r="K17" i="2" s="1"/>
  <c r="H18" i="2"/>
  <c r="K18" i="2" s="1"/>
  <c r="C17" i="2"/>
  <c r="Y17" i="2"/>
  <c r="B18" i="2"/>
  <c r="F18" i="2" s="1"/>
  <c r="E19" i="2"/>
  <c r="AF18" i="2"/>
  <c r="AX20" i="11" l="1"/>
  <c r="G20" i="11"/>
  <c r="F20" i="11"/>
  <c r="M20" i="11" s="1"/>
  <c r="J20" i="11"/>
  <c r="P20" i="11" s="1"/>
  <c r="Q25" i="11" s="1"/>
  <c r="H19" i="11"/>
  <c r="S20" i="11"/>
  <c r="W20" i="11" s="1"/>
  <c r="X20" i="11" s="1"/>
  <c r="AD19" i="11"/>
  <c r="AF19" i="11" s="1"/>
  <c r="AU19" i="11"/>
  <c r="N19" i="11"/>
  <c r="T19" i="11"/>
  <c r="AA19" i="11"/>
  <c r="AE19" i="11"/>
  <c r="AC19" i="11"/>
  <c r="K19" i="11"/>
  <c r="P19" i="11"/>
  <c r="Q24" i="11" s="1"/>
  <c r="B22" i="11"/>
  <c r="E21" i="11"/>
  <c r="C21" i="11"/>
  <c r="AQ21" i="11"/>
  <c r="Z21" i="11"/>
  <c r="F21" i="10"/>
  <c r="M21" i="10" s="1"/>
  <c r="J21" i="10"/>
  <c r="AT21" i="10"/>
  <c r="G21" i="10"/>
  <c r="H21" i="10" s="1"/>
  <c r="Z20" i="10"/>
  <c r="AB20" i="10" s="1"/>
  <c r="AQ20" i="10"/>
  <c r="N20" i="10"/>
  <c r="AM22" i="10"/>
  <c r="V22" i="10"/>
  <c r="E22" i="10"/>
  <c r="B23" i="10"/>
  <c r="C22" i="10"/>
  <c r="W20" i="10"/>
  <c r="T20" i="10"/>
  <c r="P21" i="10"/>
  <c r="Q26" i="10" s="1"/>
  <c r="Y20" i="10"/>
  <c r="AA20" i="10"/>
  <c r="K20" i="10"/>
  <c r="M19" i="8"/>
  <c r="AA18" i="9"/>
  <c r="Y18" i="9"/>
  <c r="K18" i="9"/>
  <c r="E20" i="9"/>
  <c r="B21" i="9"/>
  <c r="C20" i="9"/>
  <c r="AM20" i="9"/>
  <c r="AT19" i="9"/>
  <c r="M19" i="9"/>
  <c r="G19" i="9"/>
  <c r="F19" i="9"/>
  <c r="J19" i="9"/>
  <c r="H18" i="9"/>
  <c r="T17" i="9"/>
  <c r="W17" i="9"/>
  <c r="T18" i="9"/>
  <c r="W18" i="9"/>
  <c r="Z18" i="9"/>
  <c r="AB18" i="9" s="1"/>
  <c r="AQ18" i="9"/>
  <c r="N18" i="9"/>
  <c r="V20" i="9"/>
  <c r="C20" i="8"/>
  <c r="B21" i="8"/>
  <c r="E20" i="8"/>
  <c r="L17" i="6"/>
  <c r="N17" i="6" s="1"/>
  <c r="AF20" i="7"/>
  <c r="E21" i="7"/>
  <c r="B21" i="7" s="1"/>
  <c r="N17" i="7"/>
  <c r="AC17" i="7"/>
  <c r="T17" i="7"/>
  <c r="F19" i="7"/>
  <c r="C19" i="7"/>
  <c r="H19" i="7"/>
  <c r="K19" i="7" s="1"/>
  <c r="Y19" i="7"/>
  <c r="M17" i="7"/>
  <c r="I18" i="7"/>
  <c r="L18" i="7" s="1"/>
  <c r="K19" i="6"/>
  <c r="C19" i="6"/>
  <c r="Y19" i="6"/>
  <c r="AF20" i="6"/>
  <c r="E21" i="6"/>
  <c r="H20" i="6"/>
  <c r="B20" i="6"/>
  <c r="F20" i="6" s="1"/>
  <c r="F19" i="6"/>
  <c r="AC18" i="6"/>
  <c r="L18" i="6"/>
  <c r="N18" i="6" s="1"/>
  <c r="K17" i="4"/>
  <c r="AC15" i="4"/>
  <c r="L15" i="4"/>
  <c r="N15" i="4" s="1"/>
  <c r="T15" i="4"/>
  <c r="F17" i="4"/>
  <c r="I16" i="4"/>
  <c r="M16" i="4" s="1"/>
  <c r="C17" i="4"/>
  <c r="Y17" i="4"/>
  <c r="AF18" i="4"/>
  <c r="E19" i="4"/>
  <c r="B18" i="4"/>
  <c r="H18" i="4" s="1"/>
  <c r="H19" i="2"/>
  <c r="K19" i="2" s="1"/>
  <c r="L16" i="2"/>
  <c r="N16" i="2" s="1"/>
  <c r="I17" i="2"/>
  <c r="M17" i="2" s="1"/>
  <c r="AC16" i="2"/>
  <c r="C18" i="2"/>
  <c r="I18" i="2" s="1"/>
  <c r="Y18" i="2"/>
  <c r="B19" i="2"/>
  <c r="F19" i="2" s="1"/>
  <c r="E20" i="2"/>
  <c r="AF19" i="2"/>
  <c r="AC20" i="11" l="1"/>
  <c r="K20" i="11"/>
  <c r="AE20" i="11"/>
  <c r="AX21" i="11"/>
  <c r="G21" i="11"/>
  <c r="S21" i="11" s="1"/>
  <c r="W21" i="11" s="1"/>
  <c r="X21" i="11" s="1"/>
  <c r="F21" i="11"/>
  <c r="M21" i="11" s="1"/>
  <c r="J21" i="11"/>
  <c r="P21" i="11" s="1"/>
  <c r="Q26" i="11" s="1"/>
  <c r="AD20" i="11"/>
  <c r="AF20" i="11" s="1"/>
  <c r="AU20" i="11"/>
  <c r="N20" i="11"/>
  <c r="E22" i="11"/>
  <c r="AQ22" i="11"/>
  <c r="B23" i="11"/>
  <c r="C22" i="11"/>
  <c r="Z22" i="11"/>
  <c r="H20" i="11"/>
  <c r="T20" i="11"/>
  <c r="AA20" i="11"/>
  <c r="E23" i="10"/>
  <c r="B24" i="10"/>
  <c r="AM23" i="10"/>
  <c r="C23" i="10"/>
  <c r="V23" i="10"/>
  <c r="K21" i="10"/>
  <c r="Y21" i="10"/>
  <c r="AA21" i="10"/>
  <c r="S21" i="10"/>
  <c r="AT22" i="10"/>
  <c r="G22" i="10"/>
  <c r="H22" i="10" s="1"/>
  <c r="F22" i="10"/>
  <c r="M22" i="10" s="1"/>
  <c r="J22" i="10"/>
  <c r="AQ21" i="10"/>
  <c r="Z21" i="10"/>
  <c r="AB21" i="10" s="1"/>
  <c r="N21" i="10"/>
  <c r="AQ19" i="9"/>
  <c r="Z19" i="9"/>
  <c r="AB19" i="9" s="1"/>
  <c r="N19" i="9"/>
  <c r="Y19" i="9"/>
  <c r="K19" i="9"/>
  <c r="AA19" i="9"/>
  <c r="E21" i="9"/>
  <c r="B22" i="9"/>
  <c r="C21" i="9"/>
  <c r="AM21" i="9"/>
  <c r="V21" i="9"/>
  <c r="F20" i="9"/>
  <c r="M20" i="9" s="1"/>
  <c r="J20" i="9"/>
  <c r="AT20" i="9"/>
  <c r="G20" i="9"/>
  <c r="P19" i="9"/>
  <c r="Q24" i="9" s="1"/>
  <c r="H19" i="9"/>
  <c r="P20" i="9"/>
  <c r="Q25" i="9" s="1"/>
  <c r="S20" i="9"/>
  <c r="S19" i="9"/>
  <c r="C21" i="8"/>
  <c r="B22" i="8"/>
  <c r="E21" i="8"/>
  <c r="AF21" i="7"/>
  <c r="E22" i="7"/>
  <c r="B22" i="7" s="1"/>
  <c r="N18" i="7"/>
  <c r="AC18" i="7"/>
  <c r="T18" i="7"/>
  <c r="M18" i="7"/>
  <c r="I19" i="7"/>
  <c r="L19" i="7" s="1"/>
  <c r="F20" i="7"/>
  <c r="C20" i="7"/>
  <c r="H20" i="7"/>
  <c r="K20" i="7" s="1"/>
  <c r="Y20" i="7"/>
  <c r="K20" i="6"/>
  <c r="H21" i="6"/>
  <c r="E22" i="6"/>
  <c r="AF21" i="6"/>
  <c r="B21" i="6"/>
  <c r="I19" i="6"/>
  <c r="Y20" i="6"/>
  <c r="C20" i="6"/>
  <c r="I20" i="6" s="1"/>
  <c r="K18" i="4"/>
  <c r="L16" i="4"/>
  <c r="N16" i="4" s="1"/>
  <c r="AC16" i="4"/>
  <c r="F18" i="4"/>
  <c r="T16" i="4"/>
  <c r="I17" i="4"/>
  <c r="AF19" i="4"/>
  <c r="E20" i="4"/>
  <c r="B19" i="4"/>
  <c r="H19" i="4" s="1"/>
  <c r="C18" i="4"/>
  <c r="Y18" i="4"/>
  <c r="H20" i="2"/>
  <c r="K20" i="2" s="1"/>
  <c r="AC17" i="2"/>
  <c r="L17" i="2"/>
  <c r="N17" i="2" s="1"/>
  <c r="M18" i="2"/>
  <c r="C19" i="2"/>
  <c r="L18" i="2"/>
  <c r="N18" i="2" s="1"/>
  <c r="AC18" i="2"/>
  <c r="Y19" i="2"/>
  <c r="B20" i="2"/>
  <c r="F20" i="2" s="1"/>
  <c r="E21" i="2"/>
  <c r="AF20" i="2"/>
  <c r="J22" i="11" l="1"/>
  <c r="P22" i="11" s="1"/>
  <c r="Q27" i="11" s="1"/>
  <c r="AX22" i="11"/>
  <c r="G22" i="11"/>
  <c r="F22" i="11"/>
  <c r="M22" i="11" s="1"/>
  <c r="AC21" i="11"/>
  <c r="K21" i="11"/>
  <c r="AE21" i="11"/>
  <c r="AA21" i="11"/>
  <c r="T21" i="11"/>
  <c r="AU21" i="11"/>
  <c r="AD21" i="11"/>
  <c r="AF21" i="11" s="1"/>
  <c r="N21" i="11"/>
  <c r="B24" i="11"/>
  <c r="C23" i="11"/>
  <c r="E23" i="11"/>
  <c r="AQ23" i="11"/>
  <c r="Z23" i="11"/>
  <c r="H21" i="11"/>
  <c r="S22" i="10"/>
  <c r="Y22" i="10"/>
  <c r="AA22" i="10"/>
  <c r="K22" i="10"/>
  <c r="P22" i="10"/>
  <c r="Q27" i="10" s="1"/>
  <c r="F23" i="10"/>
  <c r="M23" i="10" s="1"/>
  <c r="J23" i="10"/>
  <c r="G23" i="10"/>
  <c r="H23" i="10" s="1"/>
  <c r="AT23" i="10"/>
  <c r="W21" i="10"/>
  <c r="T21" i="10"/>
  <c r="E24" i="10"/>
  <c r="C24" i="10"/>
  <c r="B25" i="10"/>
  <c r="V24" i="10"/>
  <c r="AQ22" i="10"/>
  <c r="Z22" i="10"/>
  <c r="AB22" i="10" s="1"/>
  <c r="N22" i="10"/>
  <c r="AQ20" i="9"/>
  <c r="Z20" i="9"/>
  <c r="AB20" i="9" s="1"/>
  <c r="N20" i="9"/>
  <c r="H20" i="9"/>
  <c r="E22" i="9"/>
  <c r="B23" i="9"/>
  <c r="C22" i="9"/>
  <c r="AM22" i="9"/>
  <c r="V22" i="9"/>
  <c r="J21" i="9"/>
  <c r="AT21" i="9"/>
  <c r="G21" i="9"/>
  <c r="F21" i="9"/>
  <c r="M21" i="9" s="1"/>
  <c r="W20" i="9"/>
  <c r="T20" i="9"/>
  <c r="W19" i="9"/>
  <c r="T19" i="9"/>
  <c r="K20" i="9"/>
  <c r="AA20" i="9"/>
  <c r="Y20" i="9"/>
  <c r="Q26" i="9"/>
  <c r="P21" i="9"/>
  <c r="C22" i="8"/>
  <c r="B23" i="8"/>
  <c r="E22" i="8"/>
  <c r="I20" i="7"/>
  <c r="M20" i="7" s="1"/>
  <c r="F21" i="7"/>
  <c r="C21" i="7"/>
  <c r="H21" i="7"/>
  <c r="K21" i="7" s="1"/>
  <c r="Y21" i="7"/>
  <c r="N19" i="7"/>
  <c r="AC19" i="7"/>
  <c r="T19" i="7"/>
  <c r="AF22" i="7"/>
  <c r="E23" i="7"/>
  <c r="B23" i="7" s="1"/>
  <c r="M19" i="7"/>
  <c r="L20" i="6"/>
  <c r="N20" i="6" s="1"/>
  <c r="AC20" i="6"/>
  <c r="M20" i="6"/>
  <c r="K21" i="6"/>
  <c r="AC19" i="6"/>
  <c r="L19" i="6"/>
  <c r="N19" i="6" s="1"/>
  <c r="M19" i="6"/>
  <c r="C21" i="6"/>
  <c r="Y21" i="6"/>
  <c r="F21" i="6"/>
  <c r="H22" i="6"/>
  <c r="E23" i="6"/>
  <c r="AF22" i="6"/>
  <c r="B22" i="6"/>
  <c r="AC17" i="4"/>
  <c r="M17" i="4"/>
  <c r="K19" i="4"/>
  <c r="T17" i="4"/>
  <c r="L17" i="4"/>
  <c r="N17" i="4" s="1"/>
  <c r="I18" i="4"/>
  <c r="F19" i="4"/>
  <c r="Y19" i="4"/>
  <c r="C19" i="4"/>
  <c r="AF20" i="4"/>
  <c r="E21" i="4"/>
  <c r="B20" i="4"/>
  <c r="H20" i="4" s="1"/>
  <c r="H21" i="2"/>
  <c r="K21" i="2" s="1"/>
  <c r="I19" i="2"/>
  <c r="AC19" i="2" s="1"/>
  <c r="C20" i="2"/>
  <c r="I20" i="2" s="1"/>
  <c r="Y20" i="2"/>
  <c r="B21" i="2"/>
  <c r="F21" i="2" s="1"/>
  <c r="E22" i="2"/>
  <c r="AF21" i="2"/>
  <c r="H22" i="11" l="1"/>
  <c r="S22" i="11"/>
  <c r="T22" i="11"/>
  <c r="AE22" i="11"/>
  <c r="AC22" i="11"/>
  <c r="K22" i="11"/>
  <c r="F23" i="11"/>
  <c r="M23" i="11" s="1"/>
  <c r="AX23" i="11"/>
  <c r="J23" i="11"/>
  <c r="G23" i="11"/>
  <c r="S23" i="11" s="1"/>
  <c r="W23" i="11" s="1"/>
  <c r="X23" i="11" s="1"/>
  <c r="B25" i="11"/>
  <c r="E24" i="11"/>
  <c r="C24" i="11"/>
  <c r="Z24" i="11"/>
  <c r="AU22" i="11"/>
  <c r="AD22" i="11"/>
  <c r="AF22" i="11" s="1"/>
  <c r="N22" i="11"/>
  <c r="K23" i="10"/>
  <c r="AA23" i="10"/>
  <c r="Y23" i="10"/>
  <c r="S23" i="10"/>
  <c r="AQ23" i="10"/>
  <c r="Z23" i="10"/>
  <c r="AB23" i="10" s="1"/>
  <c r="N23" i="10"/>
  <c r="J24" i="10"/>
  <c r="G24" i="10"/>
  <c r="H24" i="10" s="1"/>
  <c r="F24" i="10"/>
  <c r="M24" i="10" s="1"/>
  <c r="E25" i="10"/>
  <c r="B26" i="10"/>
  <c r="C25" i="10"/>
  <c r="G25" i="10"/>
  <c r="AM25" i="10"/>
  <c r="V25" i="10"/>
  <c r="P23" i="10"/>
  <c r="Q28" i="10" s="1"/>
  <c r="W22" i="10"/>
  <c r="T22" i="10"/>
  <c r="Z21" i="9"/>
  <c r="AB21" i="9" s="1"/>
  <c r="AQ21" i="9"/>
  <c r="N21" i="9"/>
  <c r="B24" i="9"/>
  <c r="C23" i="9"/>
  <c r="E23" i="9"/>
  <c r="AM23" i="9"/>
  <c r="V23" i="9"/>
  <c r="H21" i="9"/>
  <c r="J22" i="9"/>
  <c r="AT22" i="9"/>
  <c r="F22" i="9"/>
  <c r="M22" i="9" s="1"/>
  <c r="G22" i="9"/>
  <c r="S21" i="9"/>
  <c r="P22" i="9"/>
  <c r="Q27" i="9" s="1"/>
  <c r="S22" i="9"/>
  <c r="AA21" i="9"/>
  <c r="Y21" i="9"/>
  <c r="K21" i="9"/>
  <c r="C23" i="8"/>
  <c r="B24" i="8"/>
  <c r="E23" i="8"/>
  <c r="L20" i="7"/>
  <c r="L21" i="7"/>
  <c r="I21" i="6"/>
  <c r="M21" i="6" s="1"/>
  <c r="F22" i="7"/>
  <c r="C22" i="7"/>
  <c r="Y22" i="7"/>
  <c r="H22" i="7"/>
  <c r="K22" i="7" s="1"/>
  <c r="AF23" i="7"/>
  <c r="E25" i="7"/>
  <c r="B25" i="7" s="1"/>
  <c r="E24" i="7"/>
  <c r="B24" i="7" s="1"/>
  <c r="I21" i="7"/>
  <c r="N20" i="7"/>
  <c r="AC20" i="7"/>
  <c r="T20" i="7"/>
  <c r="C22" i="6"/>
  <c r="Y22" i="6"/>
  <c r="K22" i="6"/>
  <c r="F22" i="6"/>
  <c r="L21" i="6"/>
  <c r="N21" i="6" s="1"/>
  <c r="AC21" i="6"/>
  <c r="E24" i="6"/>
  <c r="AF23" i="6"/>
  <c r="E25" i="6"/>
  <c r="B23" i="6"/>
  <c r="H23" i="6"/>
  <c r="L18" i="4"/>
  <c r="N18" i="4" s="1"/>
  <c r="M18" i="4"/>
  <c r="K20" i="4"/>
  <c r="AC18" i="4"/>
  <c r="I19" i="4"/>
  <c r="T18" i="4"/>
  <c r="F20" i="4"/>
  <c r="C20" i="4"/>
  <c r="Y20" i="4"/>
  <c r="E22" i="4"/>
  <c r="E23" i="4"/>
  <c r="AF21" i="4"/>
  <c r="B21" i="4"/>
  <c r="H21" i="4" s="1"/>
  <c r="E23" i="2"/>
  <c r="H23" i="2" s="1"/>
  <c r="K23" i="2" s="1"/>
  <c r="M20" i="2"/>
  <c r="M19" i="2"/>
  <c r="L19" i="2"/>
  <c r="N19" i="2" s="1"/>
  <c r="C21" i="2"/>
  <c r="H22" i="2"/>
  <c r="K22" i="2" s="1"/>
  <c r="B22" i="2"/>
  <c r="F22" i="2" s="1"/>
  <c r="E24" i="2"/>
  <c r="L20" i="2"/>
  <c r="N20" i="2" s="1"/>
  <c r="AC20" i="2"/>
  <c r="Y21" i="2"/>
  <c r="AF22" i="2"/>
  <c r="AA22" i="11" l="1"/>
  <c r="W22" i="11"/>
  <c r="X22" i="11" s="1"/>
  <c r="K23" i="11"/>
  <c r="AE23" i="11"/>
  <c r="AC23" i="11"/>
  <c r="G24" i="11"/>
  <c r="J24" i="11"/>
  <c r="F24" i="11"/>
  <c r="M24" i="11" s="1"/>
  <c r="G25" i="11"/>
  <c r="E25" i="11"/>
  <c r="B26" i="11"/>
  <c r="C25" i="11"/>
  <c r="AQ25" i="11"/>
  <c r="Z25" i="11"/>
  <c r="AD23" i="11"/>
  <c r="AF23" i="11" s="1"/>
  <c r="AU23" i="11"/>
  <c r="N23" i="11"/>
  <c r="T23" i="11"/>
  <c r="AA23" i="11"/>
  <c r="P24" i="11"/>
  <c r="Q29" i="11" s="1"/>
  <c r="H23" i="11"/>
  <c r="P23" i="11"/>
  <c r="Q28" i="11" s="1"/>
  <c r="W23" i="10"/>
  <c r="T23" i="10"/>
  <c r="B27" i="10"/>
  <c r="AM26" i="10"/>
  <c r="C26" i="10"/>
  <c r="G26" i="10"/>
  <c r="E26" i="10"/>
  <c r="V26" i="10"/>
  <c r="H25" i="10"/>
  <c r="J25" i="10"/>
  <c r="AT25" i="10"/>
  <c r="F25" i="10"/>
  <c r="M25" i="10" s="1"/>
  <c r="AA24" i="10"/>
  <c r="Y24" i="10"/>
  <c r="K24" i="10"/>
  <c r="S24" i="10"/>
  <c r="P25" i="10"/>
  <c r="Q30" i="10" s="1"/>
  <c r="S25" i="10"/>
  <c r="Z24" i="10"/>
  <c r="AB24" i="10" s="1"/>
  <c r="N24" i="10"/>
  <c r="P24" i="10"/>
  <c r="Q29" i="10" s="1"/>
  <c r="B25" i="9"/>
  <c r="E24" i="9"/>
  <c r="C24" i="9"/>
  <c r="V24" i="9"/>
  <c r="T21" i="9"/>
  <c r="W21" i="9"/>
  <c r="T22" i="9"/>
  <c r="W22" i="9"/>
  <c r="H22" i="9"/>
  <c r="S23" i="9"/>
  <c r="AA22" i="9"/>
  <c r="Y22" i="9"/>
  <c r="K22" i="9"/>
  <c r="AT23" i="9"/>
  <c r="G23" i="9"/>
  <c r="J23" i="9"/>
  <c r="F23" i="9"/>
  <c r="M23" i="9" s="1"/>
  <c r="Z22" i="9"/>
  <c r="AB22" i="9" s="1"/>
  <c r="AQ22" i="9"/>
  <c r="N22" i="9"/>
  <c r="C24" i="8"/>
  <c r="B25" i="8"/>
  <c r="E24" i="8"/>
  <c r="I22" i="6"/>
  <c r="M22" i="6" s="1"/>
  <c r="N21" i="7"/>
  <c r="AC21" i="7"/>
  <c r="T21" i="7"/>
  <c r="I22" i="7"/>
  <c r="L22" i="7" s="1"/>
  <c r="AF25" i="7"/>
  <c r="E26" i="7"/>
  <c r="B26" i="7" s="1"/>
  <c r="F23" i="7"/>
  <c r="C23" i="7"/>
  <c r="H23" i="7"/>
  <c r="K23" i="7" s="1"/>
  <c r="Y23" i="7"/>
  <c r="M21" i="7"/>
  <c r="F24" i="7"/>
  <c r="C24" i="7"/>
  <c r="H24" i="7"/>
  <c r="K24" i="7" s="1"/>
  <c r="B24" i="6"/>
  <c r="C24" i="6" s="1"/>
  <c r="H24" i="6"/>
  <c r="C23" i="6"/>
  <c r="Y23" i="6"/>
  <c r="H25" i="6"/>
  <c r="E26" i="6"/>
  <c r="AF25" i="6"/>
  <c r="B25" i="6"/>
  <c r="F25" i="6" s="1"/>
  <c r="K23" i="6"/>
  <c r="F23" i="6"/>
  <c r="AC22" i="6"/>
  <c r="L22" i="6"/>
  <c r="N22" i="6" s="1"/>
  <c r="K21" i="4"/>
  <c r="L19" i="4"/>
  <c r="N19" i="4" s="1"/>
  <c r="M19" i="4"/>
  <c r="F21" i="4"/>
  <c r="I20" i="4"/>
  <c r="B23" i="2"/>
  <c r="C23" i="2" s="1"/>
  <c r="C21" i="4"/>
  <c r="Y21" i="4"/>
  <c r="AF23" i="4"/>
  <c r="B23" i="4"/>
  <c r="E24" i="4"/>
  <c r="B22" i="4"/>
  <c r="H22" i="4" s="1"/>
  <c r="T19" i="4"/>
  <c r="AC19" i="4"/>
  <c r="H24" i="2"/>
  <c r="K24" i="2" s="1"/>
  <c r="F23" i="2"/>
  <c r="I21" i="2"/>
  <c r="C22" i="2"/>
  <c r="Y22" i="2"/>
  <c r="AF24" i="2"/>
  <c r="B24" i="2"/>
  <c r="F24" i="2" s="1"/>
  <c r="E25" i="2"/>
  <c r="H24" i="11" l="1"/>
  <c r="S24" i="11"/>
  <c r="W24" i="11" s="1"/>
  <c r="X24" i="11" s="1"/>
  <c r="S25" i="11"/>
  <c r="W25" i="11" s="1"/>
  <c r="X25" i="11" s="1"/>
  <c r="AD24" i="11"/>
  <c r="AF24" i="11" s="1"/>
  <c r="N24" i="11"/>
  <c r="AX25" i="11"/>
  <c r="J25" i="11"/>
  <c r="F25" i="11"/>
  <c r="M25" i="11" s="1"/>
  <c r="B27" i="11"/>
  <c r="C26" i="11"/>
  <c r="G26" i="11"/>
  <c r="E26" i="11"/>
  <c r="AQ26" i="11"/>
  <c r="Z26" i="11"/>
  <c r="AC24" i="11"/>
  <c r="AE24" i="11"/>
  <c r="K24" i="11"/>
  <c r="T25" i="10"/>
  <c r="W25" i="10"/>
  <c r="AT26" i="10"/>
  <c r="F26" i="10"/>
  <c r="M26" i="10" s="1"/>
  <c r="J26" i="10"/>
  <c r="H26" i="10"/>
  <c r="Q31" i="10"/>
  <c r="S26" i="10"/>
  <c r="P26" i="10"/>
  <c r="AA25" i="10"/>
  <c r="Y25" i="10"/>
  <c r="K25" i="10"/>
  <c r="G27" i="10"/>
  <c r="AM27" i="10"/>
  <c r="B28" i="10"/>
  <c r="E27" i="10"/>
  <c r="C27" i="10"/>
  <c r="V27" i="10"/>
  <c r="T24" i="10"/>
  <c r="W24" i="10"/>
  <c r="Z25" i="10"/>
  <c r="AB25" i="10" s="1"/>
  <c r="AQ25" i="10"/>
  <c r="N25" i="10"/>
  <c r="Y23" i="9"/>
  <c r="K23" i="9"/>
  <c r="AA23" i="9"/>
  <c r="T23" i="9"/>
  <c r="W23" i="9"/>
  <c r="H23" i="9"/>
  <c r="G24" i="9"/>
  <c r="H24" i="9" s="1"/>
  <c r="F24" i="9"/>
  <c r="M24" i="9" s="1"/>
  <c r="J24" i="9"/>
  <c r="P23" i="9"/>
  <c r="Q28" i="9" s="1"/>
  <c r="G25" i="9"/>
  <c r="E25" i="9"/>
  <c r="AM25" i="9"/>
  <c r="B26" i="9"/>
  <c r="C25" i="9"/>
  <c r="V25" i="9"/>
  <c r="Z23" i="9"/>
  <c r="AB23" i="9" s="1"/>
  <c r="AQ23" i="9"/>
  <c r="N23" i="9"/>
  <c r="C25" i="8"/>
  <c r="B26" i="8"/>
  <c r="E25" i="8"/>
  <c r="I23" i="7"/>
  <c r="AC23" i="7" s="1"/>
  <c r="N22" i="7"/>
  <c r="AC22" i="7"/>
  <c r="T22" i="7"/>
  <c r="I24" i="7"/>
  <c r="L24" i="7" s="1"/>
  <c r="F25" i="7"/>
  <c r="C25" i="7"/>
  <c r="H25" i="7"/>
  <c r="K25" i="7" s="1"/>
  <c r="Y25" i="7"/>
  <c r="AF26" i="7"/>
  <c r="E27" i="7"/>
  <c r="B27" i="7" s="1"/>
  <c r="M22" i="7"/>
  <c r="H26" i="6"/>
  <c r="E27" i="6"/>
  <c r="AF26" i="6"/>
  <c r="B26" i="6"/>
  <c r="K25" i="6"/>
  <c r="K24" i="6"/>
  <c r="C25" i="6"/>
  <c r="I25" i="6" s="1"/>
  <c r="Y25" i="6"/>
  <c r="I23" i="6"/>
  <c r="F24" i="6"/>
  <c r="I24" i="6" s="1"/>
  <c r="L24" i="6" s="1"/>
  <c r="N24" i="6" s="1"/>
  <c r="L20" i="4"/>
  <c r="M20" i="4"/>
  <c r="K22" i="4"/>
  <c r="F23" i="4"/>
  <c r="H23" i="4"/>
  <c r="I21" i="4"/>
  <c r="C22" i="4"/>
  <c r="F22" i="4"/>
  <c r="T20" i="4"/>
  <c r="AC20" i="4"/>
  <c r="N20" i="4"/>
  <c r="AF24" i="4"/>
  <c r="E25" i="4"/>
  <c r="B24" i="4"/>
  <c r="C23" i="4"/>
  <c r="Y23" i="4"/>
  <c r="AC21" i="2"/>
  <c r="H25" i="2"/>
  <c r="K25" i="2" s="1"/>
  <c r="L21" i="2"/>
  <c r="N21" i="2" s="1"/>
  <c r="M21" i="2"/>
  <c r="I22" i="2"/>
  <c r="C24" i="2"/>
  <c r="I23" i="2"/>
  <c r="M23" i="2" s="1"/>
  <c r="Y24" i="2"/>
  <c r="B25" i="2"/>
  <c r="F25" i="2" s="1"/>
  <c r="E26" i="2"/>
  <c r="AF25" i="2"/>
  <c r="S26" i="11" l="1"/>
  <c r="W26" i="11" s="1"/>
  <c r="X26" i="11" s="1"/>
  <c r="AC25" i="11"/>
  <c r="AE25" i="11"/>
  <c r="K25" i="11"/>
  <c r="H25" i="11"/>
  <c r="AA24" i="11"/>
  <c r="T24" i="11"/>
  <c r="P25" i="11"/>
  <c r="Q30" i="11" s="1"/>
  <c r="AU25" i="11"/>
  <c r="AD25" i="11"/>
  <c r="AF25" i="11" s="1"/>
  <c r="N25" i="11"/>
  <c r="F26" i="11"/>
  <c r="M26" i="11" s="1"/>
  <c r="AX26" i="11"/>
  <c r="J26" i="11"/>
  <c r="P26" i="11" s="1"/>
  <c r="Q31" i="11" s="1"/>
  <c r="E27" i="11"/>
  <c r="G27" i="11"/>
  <c r="AQ27" i="11"/>
  <c r="B28" i="11"/>
  <c r="C27" i="11"/>
  <c r="Z27" i="11"/>
  <c r="T25" i="11"/>
  <c r="AA25" i="11"/>
  <c r="S27" i="10"/>
  <c r="P27" i="10"/>
  <c r="Q32" i="10" s="1"/>
  <c r="AT27" i="10"/>
  <c r="F27" i="10"/>
  <c r="M27" i="10" s="1"/>
  <c r="J27" i="10"/>
  <c r="Y26" i="10"/>
  <c r="AA26" i="10"/>
  <c r="K26" i="10"/>
  <c r="H27" i="10"/>
  <c r="E28" i="10"/>
  <c r="B29" i="10"/>
  <c r="G28" i="10"/>
  <c r="C28" i="10"/>
  <c r="AM28" i="10"/>
  <c r="V28" i="10"/>
  <c r="T26" i="10"/>
  <c r="W26" i="10"/>
  <c r="Z26" i="10"/>
  <c r="AB26" i="10" s="1"/>
  <c r="AQ26" i="10"/>
  <c r="N26" i="10"/>
  <c r="E26" i="9"/>
  <c r="B27" i="9"/>
  <c r="C26" i="9"/>
  <c r="G26" i="9"/>
  <c r="AM26" i="9"/>
  <c r="V26" i="9"/>
  <c r="H25" i="9"/>
  <c r="S24" i="9"/>
  <c r="Y24" i="9"/>
  <c r="K24" i="9"/>
  <c r="AA24" i="9"/>
  <c r="P24" i="9"/>
  <c r="Q29" i="9" s="1"/>
  <c r="S25" i="9"/>
  <c r="AT25" i="9"/>
  <c r="F25" i="9"/>
  <c r="M25" i="9" s="1"/>
  <c r="J25" i="9"/>
  <c r="Z24" i="9"/>
  <c r="AB24" i="9" s="1"/>
  <c r="N24" i="9"/>
  <c r="C26" i="8"/>
  <c r="E26" i="8"/>
  <c r="B27" i="8"/>
  <c r="G26" i="8"/>
  <c r="L23" i="7"/>
  <c r="N23" i="7" s="1"/>
  <c r="M23" i="7"/>
  <c r="T23" i="7"/>
  <c r="N24" i="7"/>
  <c r="T24" i="7"/>
  <c r="AF27" i="7"/>
  <c r="E28" i="7"/>
  <c r="B28" i="7" s="1"/>
  <c r="F26" i="7"/>
  <c r="C26" i="7"/>
  <c r="H26" i="7"/>
  <c r="K26" i="7" s="1"/>
  <c r="Y26" i="7"/>
  <c r="M24" i="7"/>
  <c r="I25" i="7"/>
  <c r="M25" i="7" s="1"/>
  <c r="L25" i="6"/>
  <c r="N25" i="6" s="1"/>
  <c r="AC25" i="6"/>
  <c r="M25" i="6"/>
  <c r="K26" i="6"/>
  <c r="E28" i="6"/>
  <c r="AF27" i="6"/>
  <c r="B27" i="6"/>
  <c r="F27" i="6" s="1"/>
  <c r="H27" i="6"/>
  <c r="M24" i="6"/>
  <c r="C26" i="6"/>
  <c r="Y26" i="6"/>
  <c r="AC23" i="6"/>
  <c r="L23" i="6"/>
  <c r="N23" i="6" s="1"/>
  <c r="M23" i="6"/>
  <c r="F26" i="6"/>
  <c r="L21" i="4"/>
  <c r="M21" i="4"/>
  <c r="K23" i="4"/>
  <c r="F24" i="4"/>
  <c r="H24" i="4"/>
  <c r="I22" i="4"/>
  <c r="M22" i="4" s="1"/>
  <c r="I23" i="4"/>
  <c r="M23" i="4" s="1"/>
  <c r="E26" i="4"/>
  <c r="AF25" i="4"/>
  <c r="B25" i="4"/>
  <c r="C24" i="4"/>
  <c r="Y24" i="4"/>
  <c r="AC21" i="4"/>
  <c r="T21" i="4"/>
  <c r="N21" i="4"/>
  <c r="AC22" i="2"/>
  <c r="L22" i="2"/>
  <c r="N22" i="2" s="1"/>
  <c r="H26" i="2"/>
  <c r="K26" i="2" s="1"/>
  <c r="M22" i="2"/>
  <c r="I24" i="2"/>
  <c r="L24" i="2" s="1"/>
  <c r="N24" i="2" s="1"/>
  <c r="C25" i="2"/>
  <c r="I25" i="2" s="1"/>
  <c r="L23" i="2"/>
  <c r="N23" i="2" s="1"/>
  <c r="Y25" i="2"/>
  <c r="B26" i="2"/>
  <c r="F26" i="2" s="1"/>
  <c r="E27" i="2"/>
  <c r="AF26" i="2"/>
  <c r="AU26" i="11" l="1"/>
  <c r="AD26" i="11"/>
  <c r="AF26" i="11" s="1"/>
  <c r="N26" i="11"/>
  <c r="S27" i="11"/>
  <c r="J27" i="11"/>
  <c r="P27" i="11" s="1"/>
  <c r="Q32" i="11" s="1"/>
  <c r="AX27" i="11"/>
  <c r="F27" i="11"/>
  <c r="M27" i="11" s="1"/>
  <c r="H26" i="11"/>
  <c r="AA26" i="11"/>
  <c r="T26" i="11"/>
  <c r="B29" i="11"/>
  <c r="C28" i="11"/>
  <c r="E28" i="11"/>
  <c r="G28" i="11"/>
  <c r="AQ28" i="11"/>
  <c r="Z28" i="11"/>
  <c r="K26" i="11"/>
  <c r="AC26" i="11"/>
  <c r="AE26" i="11"/>
  <c r="S28" i="10"/>
  <c r="W27" i="10"/>
  <c r="T27" i="10"/>
  <c r="AQ27" i="10"/>
  <c r="Z27" i="10"/>
  <c r="AB27" i="10" s="1"/>
  <c r="N27" i="10"/>
  <c r="F28" i="10"/>
  <c r="M28" i="10" s="1"/>
  <c r="J28" i="10"/>
  <c r="P28" i="10" s="1"/>
  <c r="Q33" i="10" s="1"/>
  <c r="AT28" i="10"/>
  <c r="Y27" i="10"/>
  <c r="K27" i="10"/>
  <c r="AA27" i="10"/>
  <c r="E29" i="10"/>
  <c r="B30" i="10"/>
  <c r="C29" i="10"/>
  <c r="G29" i="10"/>
  <c r="AM29" i="10"/>
  <c r="V29" i="10"/>
  <c r="S26" i="9"/>
  <c r="AQ25" i="9"/>
  <c r="Z25" i="9"/>
  <c r="AB25" i="9" s="1"/>
  <c r="N25" i="9"/>
  <c r="Y25" i="9"/>
  <c r="K25" i="9"/>
  <c r="AA25" i="9"/>
  <c r="W25" i="9"/>
  <c r="T25" i="9"/>
  <c r="E27" i="9"/>
  <c r="B28" i="9"/>
  <c r="AM27" i="9"/>
  <c r="C27" i="9"/>
  <c r="G27" i="9"/>
  <c r="V27" i="9"/>
  <c r="P25" i="9"/>
  <c r="Q30" i="9" s="1"/>
  <c r="W24" i="9"/>
  <c r="T24" i="9"/>
  <c r="F26" i="9"/>
  <c r="M26" i="9" s="1"/>
  <c r="J26" i="9"/>
  <c r="AT26" i="9"/>
  <c r="C27" i="8"/>
  <c r="E27" i="8"/>
  <c r="B28" i="8"/>
  <c r="L25" i="7"/>
  <c r="I26" i="7"/>
  <c r="AF28" i="7"/>
  <c r="E29" i="7"/>
  <c r="B29" i="7" s="1"/>
  <c r="N25" i="7"/>
  <c r="AC25" i="7"/>
  <c r="T25" i="7"/>
  <c r="F27" i="7"/>
  <c r="C27" i="7"/>
  <c r="H27" i="7"/>
  <c r="K27" i="7" s="1"/>
  <c r="Y27" i="7"/>
  <c r="AF28" i="6"/>
  <c r="B28" i="6"/>
  <c r="E29" i="6"/>
  <c r="H28" i="6"/>
  <c r="C27" i="6"/>
  <c r="I27" i="6" s="1"/>
  <c r="Y27" i="6"/>
  <c r="I26" i="6"/>
  <c r="K27" i="6"/>
  <c r="K24" i="4"/>
  <c r="T23" i="4"/>
  <c r="L23" i="4"/>
  <c r="N23" i="4" s="1"/>
  <c r="L22" i="4"/>
  <c r="N22" i="4" s="1"/>
  <c r="AC23" i="4"/>
  <c r="T22" i="4"/>
  <c r="F25" i="4"/>
  <c r="H25" i="4"/>
  <c r="I24" i="4"/>
  <c r="M24" i="4" s="1"/>
  <c r="C25" i="4"/>
  <c r="Y25" i="4"/>
  <c r="AF26" i="4"/>
  <c r="E27" i="4"/>
  <c r="B26" i="4"/>
  <c r="M24" i="2"/>
  <c r="AC24" i="2"/>
  <c r="H27" i="2"/>
  <c r="K27" i="2" s="1"/>
  <c r="M25" i="2"/>
  <c r="C26" i="2"/>
  <c r="L25" i="2"/>
  <c r="N25" i="2" s="1"/>
  <c r="AC25" i="2"/>
  <c r="Y26" i="2"/>
  <c r="AF27" i="2"/>
  <c r="B27" i="2"/>
  <c r="F27" i="2" s="1"/>
  <c r="E28" i="2"/>
  <c r="F28" i="11" l="1"/>
  <c r="M28" i="11" s="1"/>
  <c r="AX28" i="11"/>
  <c r="J28" i="11"/>
  <c r="P28" i="11" s="1"/>
  <c r="Q33" i="11" s="1"/>
  <c r="G29" i="11"/>
  <c r="E29" i="11"/>
  <c r="C29" i="11"/>
  <c r="AQ29" i="11"/>
  <c r="B30" i="11"/>
  <c r="Z29" i="11"/>
  <c r="S28" i="11"/>
  <c r="AE27" i="11"/>
  <c r="AC27" i="11"/>
  <c r="K27" i="11"/>
  <c r="H27" i="11"/>
  <c r="AU27" i="11"/>
  <c r="AD27" i="11"/>
  <c r="AF27" i="11" s="1"/>
  <c r="N27" i="11"/>
  <c r="AA27" i="11"/>
  <c r="T27" i="11"/>
  <c r="AQ28" i="10"/>
  <c r="Z28" i="10"/>
  <c r="AB28" i="10" s="1"/>
  <c r="N28" i="10"/>
  <c r="H28" i="10"/>
  <c r="B31" i="10"/>
  <c r="C30" i="10"/>
  <c r="G30" i="10"/>
  <c r="E30" i="10"/>
  <c r="AM30" i="10"/>
  <c r="V30" i="10"/>
  <c r="S29" i="10"/>
  <c r="K28" i="10"/>
  <c r="AA28" i="10"/>
  <c r="Y28" i="10"/>
  <c r="W28" i="10"/>
  <c r="T28" i="10"/>
  <c r="H29" i="10"/>
  <c r="J29" i="10"/>
  <c r="AT29" i="10"/>
  <c r="F29" i="10"/>
  <c r="M29" i="10" s="1"/>
  <c r="AQ26" i="9"/>
  <c r="Z26" i="9"/>
  <c r="AB26" i="9" s="1"/>
  <c r="N26" i="9"/>
  <c r="H26" i="9"/>
  <c r="H27" i="9"/>
  <c r="B29" i="9"/>
  <c r="C28" i="9"/>
  <c r="G28" i="9"/>
  <c r="E28" i="9"/>
  <c r="AM28" i="9"/>
  <c r="V28" i="9"/>
  <c r="W26" i="9"/>
  <c r="T26" i="9"/>
  <c r="K26" i="9"/>
  <c r="AA26" i="9"/>
  <c r="Y26" i="9"/>
  <c r="S27" i="9"/>
  <c r="J27" i="9"/>
  <c r="AT27" i="9"/>
  <c r="F27" i="9"/>
  <c r="M27" i="9" s="1"/>
  <c r="P26" i="9"/>
  <c r="Q31" i="9" s="1"/>
  <c r="C28" i="8"/>
  <c r="B29" i="8"/>
  <c r="E28" i="8"/>
  <c r="L26" i="7"/>
  <c r="N26" i="7" s="1"/>
  <c r="M26" i="7"/>
  <c r="T26" i="7"/>
  <c r="AC26" i="7"/>
  <c r="I27" i="7"/>
  <c r="L27" i="7" s="1"/>
  <c r="N27" i="7" s="1"/>
  <c r="F28" i="7"/>
  <c r="C28" i="7"/>
  <c r="H28" i="7"/>
  <c r="K28" i="7" s="1"/>
  <c r="Y28" i="7"/>
  <c r="AF29" i="7"/>
  <c r="E30" i="7"/>
  <c r="B30" i="7" s="1"/>
  <c r="AC27" i="6"/>
  <c r="L27" i="6"/>
  <c r="N27" i="6" s="1"/>
  <c r="M27" i="6"/>
  <c r="Y28" i="6"/>
  <c r="C28" i="6"/>
  <c r="F28" i="6"/>
  <c r="I28" i="6" s="1"/>
  <c r="M28" i="6" s="1"/>
  <c r="K28" i="6"/>
  <c r="AC26" i="6"/>
  <c r="L26" i="6"/>
  <c r="N26" i="6" s="1"/>
  <c r="M26" i="6"/>
  <c r="H29" i="6"/>
  <c r="E30" i="6"/>
  <c r="AF29" i="6"/>
  <c r="B29" i="6"/>
  <c r="F29" i="6" s="1"/>
  <c r="K25" i="4"/>
  <c r="T24" i="4"/>
  <c r="AC24" i="4"/>
  <c r="I25" i="4"/>
  <c r="M25" i="4" s="1"/>
  <c r="F26" i="4"/>
  <c r="H26" i="4"/>
  <c r="L24" i="4"/>
  <c r="N24" i="4" s="1"/>
  <c r="AF27" i="4"/>
  <c r="E28" i="4"/>
  <c r="B27" i="4"/>
  <c r="C26" i="4"/>
  <c r="Y26" i="4"/>
  <c r="H28" i="2"/>
  <c r="K28" i="2" s="1"/>
  <c r="I26" i="2"/>
  <c r="AC26" i="2" s="1"/>
  <c r="C27" i="2"/>
  <c r="Y27" i="2"/>
  <c r="AF28" i="2"/>
  <c r="B28" i="2"/>
  <c r="F28" i="2" s="1"/>
  <c r="E29" i="2"/>
  <c r="T28" i="11" l="1"/>
  <c r="AA28" i="11"/>
  <c r="B31" i="11"/>
  <c r="C30" i="11"/>
  <c r="G30" i="11"/>
  <c r="E30" i="11"/>
  <c r="AQ30" i="11"/>
  <c r="Z30" i="11"/>
  <c r="AX29" i="11"/>
  <c r="J29" i="11"/>
  <c r="P29" i="11" s="1"/>
  <c r="F29" i="11"/>
  <c r="M29" i="11" s="1"/>
  <c r="AD28" i="11"/>
  <c r="AF28" i="11" s="1"/>
  <c r="AU28" i="11"/>
  <c r="N28" i="11"/>
  <c r="H28" i="11"/>
  <c r="S29" i="11"/>
  <c r="K28" i="11"/>
  <c r="AE28" i="11"/>
  <c r="AC28" i="11"/>
  <c r="S30" i="10"/>
  <c r="P30" i="10"/>
  <c r="Z29" i="10"/>
  <c r="AB29" i="10" s="1"/>
  <c r="AQ29" i="10"/>
  <c r="N29" i="10"/>
  <c r="T29" i="10"/>
  <c r="W29" i="10"/>
  <c r="AT30" i="10"/>
  <c r="J30" i="10"/>
  <c r="F30" i="10"/>
  <c r="M30" i="10" s="1"/>
  <c r="G31" i="10"/>
  <c r="B32" i="10"/>
  <c r="E31" i="10"/>
  <c r="C31" i="10"/>
  <c r="AM31" i="10"/>
  <c r="V31" i="10"/>
  <c r="AA29" i="10"/>
  <c r="Y29" i="10"/>
  <c r="K29" i="10"/>
  <c r="P29" i="10"/>
  <c r="H30" i="10"/>
  <c r="AA27" i="9"/>
  <c r="Y27" i="9"/>
  <c r="K27" i="9"/>
  <c r="T27" i="9"/>
  <c r="W27" i="9"/>
  <c r="S28" i="9"/>
  <c r="Z27" i="9"/>
  <c r="AB27" i="9" s="1"/>
  <c r="AQ27" i="9"/>
  <c r="N27" i="9"/>
  <c r="P27" i="9"/>
  <c r="Q32" i="9" s="1"/>
  <c r="AT28" i="9"/>
  <c r="F28" i="9"/>
  <c r="M28" i="9" s="1"/>
  <c r="J28" i="9"/>
  <c r="P28" i="9" s="1"/>
  <c r="Q33" i="9" s="1"/>
  <c r="G29" i="9"/>
  <c r="E29" i="9"/>
  <c r="B30" i="9"/>
  <c r="C29" i="9"/>
  <c r="AM29" i="9"/>
  <c r="V29" i="9"/>
  <c r="C29" i="8"/>
  <c r="B30" i="8"/>
  <c r="M27" i="7"/>
  <c r="T27" i="7"/>
  <c r="AC27" i="7"/>
  <c r="F29" i="7"/>
  <c r="C29" i="7"/>
  <c r="H29" i="7"/>
  <c r="K29" i="7" s="1"/>
  <c r="Y29" i="7"/>
  <c r="AF30" i="7"/>
  <c r="E31" i="7"/>
  <c r="B31" i="7" s="1"/>
  <c r="I28" i="7"/>
  <c r="L28" i="7" s="1"/>
  <c r="H30" i="6"/>
  <c r="E31" i="6"/>
  <c r="F30" i="6"/>
  <c r="AF30" i="6"/>
  <c r="B30" i="6"/>
  <c r="C29" i="6"/>
  <c r="I29" i="6" s="1"/>
  <c r="Y29" i="6"/>
  <c r="L28" i="6"/>
  <c r="N28" i="6" s="1"/>
  <c r="AC28" i="6"/>
  <c r="K29" i="6"/>
  <c r="K26" i="4"/>
  <c r="AC25" i="4"/>
  <c r="L25" i="4"/>
  <c r="N25" i="4" s="1"/>
  <c r="T25" i="4"/>
  <c r="F27" i="4"/>
  <c r="H27" i="4"/>
  <c r="I26" i="4"/>
  <c r="M26" i="4" s="1"/>
  <c r="C27" i="4"/>
  <c r="Y27" i="4"/>
  <c r="E29" i="4"/>
  <c r="AF28" i="4"/>
  <c r="B28" i="4"/>
  <c r="H29" i="2"/>
  <c r="K29" i="2" s="1"/>
  <c r="I27" i="2"/>
  <c r="M26" i="2"/>
  <c r="L26" i="2"/>
  <c r="N26" i="2" s="1"/>
  <c r="C28" i="2"/>
  <c r="I28" i="2" s="1"/>
  <c r="Y28" i="2"/>
  <c r="B29" i="2"/>
  <c r="F29" i="2" s="1"/>
  <c r="E30" i="2"/>
  <c r="AF29" i="2"/>
  <c r="AD29" i="11" l="1"/>
  <c r="AF29" i="11" s="1"/>
  <c r="AU29" i="11"/>
  <c r="N29" i="11"/>
  <c r="AA29" i="11"/>
  <c r="T29" i="11"/>
  <c r="AC29" i="11"/>
  <c r="AE29" i="11"/>
  <c r="K29" i="11"/>
  <c r="F30" i="11"/>
  <c r="M30" i="11" s="1"/>
  <c r="AX30" i="11"/>
  <c r="J30" i="11"/>
  <c r="E31" i="11"/>
  <c r="G31" i="11"/>
  <c r="C31" i="11"/>
  <c r="AQ31" i="11"/>
  <c r="B32" i="11"/>
  <c r="Z31" i="11"/>
  <c r="H30" i="11"/>
  <c r="H29" i="11"/>
  <c r="S30" i="11"/>
  <c r="S31" i="10"/>
  <c r="Z30" i="10"/>
  <c r="AB30" i="10" s="1"/>
  <c r="AQ30" i="10"/>
  <c r="N30" i="10"/>
  <c r="E32" i="10"/>
  <c r="C32" i="10"/>
  <c r="AM32" i="10"/>
  <c r="G32" i="10"/>
  <c r="B33" i="10"/>
  <c r="V32" i="10"/>
  <c r="AT31" i="10"/>
  <c r="F31" i="10"/>
  <c r="M31" i="10" s="1"/>
  <c r="J31" i="10"/>
  <c r="Y30" i="10"/>
  <c r="K30" i="10"/>
  <c r="AA30" i="10"/>
  <c r="T30" i="10"/>
  <c r="W30" i="10"/>
  <c r="E30" i="9"/>
  <c r="B31" i="9"/>
  <c r="C30" i="9"/>
  <c r="G30" i="9"/>
  <c r="AM30" i="9"/>
  <c r="V30" i="9"/>
  <c r="Z28" i="9"/>
  <c r="AB28" i="9" s="1"/>
  <c r="AQ28" i="9"/>
  <c r="N28" i="9"/>
  <c r="H28" i="9"/>
  <c r="AT29" i="9"/>
  <c r="F29" i="9"/>
  <c r="M29" i="9" s="1"/>
  <c r="J29" i="9"/>
  <c r="S29" i="9"/>
  <c r="P29" i="9"/>
  <c r="Y28" i="9"/>
  <c r="K28" i="9"/>
  <c r="AA28" i="9"/>
  <c r="T28" i="9"/>
  <c r="W28" i="9"/>
  <c r="C30" i="8"/>
  <c r="B31" i="8"/>
  <c r="AF31" i="7"/>
  <c r="E32" i="7"/>
  <c r="B32" i="7" s="1"/>
  <c r="N28" i="7"/>
  <c r="AC28" i="7"/>
  <c r="T28" i="7"/>
  <c r="M28" i="7"/>
  <c r="F30" i="7"/>
  <c r="C30" i="7"/>
  <c r="H30" i="7"/>
  <c r="K30" i="7" s="1"/>
  <c r="Y30" i="7"/>
  <c r="I29" i="7"/>
  <c r="L29" i="7" s="1"/>
  <c r="L29" i="6"/>
  <c r="N29" i="6" s="1"/>
  <c r="AC29" i="6"/>
  <c r="M29" i="6"/>
  <c r="K30" i="6"/>
  <c r="E32" i="6"/>
  <c r="AF31" i="6"/>
  <c r="H31" i="6"/>
  <c r="B31" i="6"/>
  <c r="C30" i="6"/>
  <c r="I30" i="6" s="1"/>
  <c r="Y30" i="6"/>
  <c r="K27" i="4"/>
  <c r="F28" i="4"/>
  <c r="H28" i="4"/>
  <c r="I27" i="4"/>
  <c r="M27" i="4" s="1"/>
  <c r="E30" i="4"/>
  <c r="AF29" i="4"/>
  <c r="B29" i="4"/>
  <c r="L26" i="4"/>
  <c r="N26" i="4" s="1"/>
  <c r="AC26" i="4"/>
  <c r="T26" i="4"/>
  <c r="C28" i="4"/>
  <c r="Y28" i="4"/>
  <c r="L27" i="2"/>
  <c r="N27" i="2" s="1"/>
  <c r="H30" i="2"/>
  <c r="K30" i="2" s="1"/>
  <c r="M27" i="2"/>
  <c r="AC27" i="2"/>
  <c r="M28" i="2"/>
  <c r="C29" i="2"/>
  <c r="L28" i="2"/>
  <c r="N28" i="2" s="1"/>
  <c r="AC28" i="2"/>
  <c r="Y29" i="2"/>
  <c r="B30" i="2"/>
  <c r="F30" i="2" s="1"/>
  <c r="E31" i="2"/>
  <c r="AF30" i="2"/>
  <c r="S31" i="11" l="1"/>
  <c r="J31" i="11"/>
  <c r="AX31" i="11"/>
  <c r="F31" i="11"/>
  <c r="M31" i="11" s="1"/>
  <c r="K30" i="11"/>
  <c r="AE30" i="11"/>
  <c r="AC30" i="11"/>
  <c r="P30" i="11"/>
  <c r="AA30" i="11"/>
  <c r="T30" i="11"/>
  <c r="B33" i="11"/>
  <c r="C32" i="11"/>
  <c r="G32" i="11"/>
  <c r="E32" i="11"/>
  <c r="AQ32" i="11"/>
  <c r="Z32" i="11"/>
  <c r="AU30" i="11"/>
  <c r="AD30" i="11"/>
  <c r="AF30" i="11" s="1"/>
  <c r="N30" i="11"/>
  <c r="Y31" i="10"/>
  <c r="K31" i="10"/>
  <c r="AA31" i="10"/>
  <c r="AQ31" i="10"/>
  <c r="Z31" i="10"/>
  <c r="AB31" i="10" s="1"/>
  <c r="N31" i="10"/>
  <c r="P31" i="10"/>
  <c r="W31" i="10"/>
  <c r="T31" i="10"/>
  <c r="E33" i="10"/>
  <c r="C33" i="10"/>
  <c r="G33" i="10"/>
  <c r="AM33" i="10"/>
  <c r="V33" i="10"/>
  <c r="H32" i="10"/>
  <c r="F32" i="10"/>
  <c r="M32" i="10" s="1"/>
  <c r="J32" i="10"/>
  <c r="AT32" i="10"/>
  <c r="P32" i="10"/>
  <c r="S32" i="10"/>
  <c r="H31" i="10"/>
  <c r="W29" i="9"/>
  <c r="T29" i="9"/>
  <c r="AQ29" i="9"/>
  <c r="Z29" i="9"/>
  <c r="AB29" i="9" s="1"/>
  <c r="N29" i="9"/>
  <c r="F30" i="9"/>
  <c r="M30" i="9" s="1"/>
  <c r="J30" i="9"/>
  <c r="AT30" i="9"/>
  <c r="S30" i="9"/>
  <c r="H29" i="9"/>
  <c r="Y29" i="9"/>
  <c r="K29" i="9"/>
  <c r="AA29" i="9"/>
  <c r="E31" i="9"/>
  <c r="B32" i="9"/>
  <c r="AM31" i="9"/>
  <c r="C31" i="9"/>
  <c r="G31" i="9"/>
  <c r="V31" i="9"/>
  <c r="C31" i="8"/>
  <c r="B32" i="8"/>
  <c r="F31" i="7"/>
  <c r="C31" i="7"/>
  <c r="H31" i="7"/>
  <c r="K31" i="7" s="1"/>
  <c r="Y31" i="7"/>
  <c r="N29" i="7"/>
  <c r="AC29" i="7"/>
  <c r="T29" i="7"/>
  <c r="I30" i="7"/>
  <c r="L30" i="7" s="1"/>
  <c r="AF32" i="7"/>
  <c r="E33" i="7"/>
  <c r="B33" i="7" s="1"/>
  <c r="M29" i="7"/>
  <c r="AC30" i="6"/>
  <c r="L30" i="6"/>
  <c r="N30" i="6" s="1"/>
  <c r="M30" i="6"/>
  <c r="AF32" i="6"/>
  <c r="H32" i="6"/>
  <c r="E33" i="6"/>
  <c r="B32" i="6"/>
  <c r="C31" i="6"/>
  <c r="Y31" i="6"/>
  <c r="F31" i="6"/>
  <c r="I31" i="6" s="1"/>
  <c r="K31" i="6"/>
  <c r="K28" i="4"/>
  <c r="M28" i="4"/>
  <c r="F29" i="4"/>
  <c r="H29" i="4"/>
  <c r="I28" i="4"/>
  <c r="AC28" i="4" s="1"/>
  <c r="L27" i="4"/>
  <c r="N27" i="4" s="1"/>
  <c r="T27" i="4"/>
  <c r="AC27" i="4"/>
  <c r="C29" i="4"/>
  <c r="Y29" i="4"/>
  <c r="AF30" i="4"/>
  <c r="E31" i="4"/>
  <c r="B30" i="4"/>
  <c r="I29" i="2"/>
  <c r="AC29" i="2" s="1"/>
  <c r="C30" i="2"/>
  <c r="H31" i="2"/>
  <c r="K31" i="2" s="1"/>
  <c r="E32" i="2"/>
  <c r="F32" i="2" s="1"/>
  <c r="Y30" i="2"/>
  <c r="AF31" i="2"/>
  <c r="B31" i="2"/>
  <c r="F31" i="2" s="1"/>
  <c r="H31" i="11" l="1"/>
  <c r="F32" i="11"/>
  <c r="M32" i="11" s="1"/>
  <c r="J32" i="11"/>
  <c r="AX32" i="11"/>
  <c r="AE31" i="11"/>
  <c r="AC31" i="11"/>
  <c r="K31" i="11"/>
  <c r="S32" i="11"/>
  <c r="AA31" i="11"/>
  <c r="T31" i="11"/>
  <c r="G33" i="11"/>
  <c r="E33" i="11"/>
  <c r="C33" i="11"/>
  <c r="AQ33" i="11"/>
  <c r="Z33" i="11"/>
  <c r="AU31" i="11"/>
  <c r="AD31" i="11"/>
  <c r="AF31" i="11" s="1"/>
  <c r="N31" i="11"/>
  <c r="P31" i="11"/>
  <c r="K32" i="10"/>
  <c r="AA32" i="10"/>
  <c r="Y32" i="10"/>
  <c r="J33" i="10"/>
  <c r="P33" i="10" s="1"/>
  <c r="AT33" i="10"/>
  <c r="F33" i="10"/>
  <c r="M33" i="10" s="1"/>
  <c r="S33" i="10"/>
  <c r="W32" i="10"/>
  <c r="T32" i="10"/>
  <c r="AQ32" i="10"/>
  <c r="Z32" i="10"/>
  <c r="AB32" i="10" s="1"/>
  <c r="N32" i="10"/>
  <c r="H33" i="10"/>
  <c r="J31" i="9"/>
  <c r="AT31" i="9"/>
  <c r="F31" i="9"/>
  <c r="M31" i="9" s="1"/>
  <c r="W30" i="9"/>
  <c r="T30" i="9"/>
  <c r="AQ30" i="9"/>
  <c r="Z30" i="9"/>
  <c r="AB30" i="9" s="1"/>
  <c r="N30" i="9"/>
  <c r="K30" i="9"/>
  <c r="AA30" i="9"/>
  <c r="Y30" i="9"/>
  <c r="P30" i="9"/>
  <c r="H30" i="9"/>
  <c r="P31" i="9"/>
  <c r="S31" i="9"/>
  <c r="H31" i="9"/>
  <c r="B33" i="9"/>
  <c r="C32" i="9"/>
  <c r="G32" i="9"/>
  <c r="E32" i="9"/>
  <c r="AM32" i="9"/>
  <c r="V32" i="9"/>
  <c r="C32" i="8"/>
  <c r="B33" i="8"/>
  <c r="C33" i="8" s="1"/>
  <c r="F33" i="7"/>
  <c r="C33" i="7"/>
  <c r="H33" i="7"/>
  <c r="K33" i="7" s="1"/>
  <c r="E34" i="7"/>
  <c r="B34" i="7" s="1"/>
  <c r="I31" i="7"/>
  <c r="L31" i="7" s="1"/>
  <c r="N30" i="7"/>
  <c r="AC30" i="7"/>
  <c r="T30" i="7"/>
  <c r="M30" i="7"/>
  <c r="F32" i="7"/>
  <c r="C32" i="7"/>
  <c r="H32" i="7"/>
  <c r="K32" i="7" s="1"/>
  <c r="Y32" i="7"/>
  <c r="Y32" i="6"/>
  <c r="C32" i="6"/>
  <c r="AC31" i="6"/>
  <c r="L31" i="6"/>
  <c r="N31" i="6" s="1"/>
  <c r="K32" i="6"/>
  <c r="H33" i="6"/>
  <c r="E34" i="6"/>
  <c r="F33" i="6"/>
  <c r="I33" i="6" s="1"/>
  <c r="L33" i="6" s="1"/>
  <c r="N33" i="6" s="1"/>
  <c r="M31" i="6"/>
  <c r="F32" i="6"/>
  <c r="I32" i="6" s="1"/>
  <c r="K29" i="4"/>
  <c r="T28" i="4"/>
  <c r="F30" i="4"/>
  <c r="H30" i="4"/>
  <c r="L28" i="4"/>
  <c r="N28" i="4" s="1"/>
  <c r="I29" i="4"/>
  <c r="M29" i="4" s="1"/>
  <c r="E32" i="4"/>
  <c r="C30" i="4"/>
  <c r="Y30" i="4"/>
  <c r="L29" i="2"/>
  <c r="N29" i="2" s="1"/>
  <c r="I30" i="2"/>
  <c r="M29" i="2"/>
  <c r="C31" i="2"/>
  <c r="E33" i="2"/>
  <c r="F33" i="2" s="1"/>
  <c r="I32" i="2"/>
  <c r="H32" i="2"/>
  <c r="K32" i="2" s="1"/>
  <c r="Y31" i="2"/>
  <c r="H32" i="11" l="1"/>
  <c r="T32" i="11"/>
  <c r="AA32" i="11"/>
  <c r="S33" i="11"/>
  <c r="K32" i="11"/>
  <c r="AE32" i="11"/>
  <c r="AC32" i="11"/>
  <c r="AX33" i="11"/>
  <c r="J33" i="11"/>
  <c r="P33" i="11" s="1"/>
  <c r="F33" i="11"/>
  <c r="M33" i="11" s="1"/>
  <c r="P32" i="11"/>
  <c r="AD32" i="11"/>
  <c r="AF32" i="11" s="1"/>
  <c r="AU32" i="11"/>
  <c r="N32" i="11"/>
  <c r="T33" i="10"/>
  <c r="W33" i="10"/>
  <c r="Z33" i="10"/>
  <c r="AB33" i="10" s="1"/>
  <c r="AQ33" i="10"/>
  <c r="N33" i="10"/>
  <c r="AA33" i="10"/>
  <c r="K33" i="10"/>
  <c r="Y33" i="10"/>
  <c r="H32" i="9"/>
  <c r="S32" i="9"/>
  <c r="T31" i="9"/>
  <c r="W31" i="9"/>
  <c r="Z31" i="9"/>
  <c r="AB31" i="9" s="1"/>
  <c r="AQ31" i="9"/>
  <c r="N31" i="9"/>
  <c r="AT32" i="9"/>
  <c r="F32" i="9"/>
  <c r="M32" i="9" s="1"/>
  <c r="J32" i="9"/>
  <c r="G33" i="9"/>
  <c r="E33" i="9"/>
  <c r="C33" i="9"/>
  <c r="AM33" i="9"/>
  <c r="V33" i="9"/>
  <c r="AA31" i="9"/>
  <c r="Y31" i="9"/>
  <c r="K31" i="9"/>
  <c r="I33" i="7"/>
  <c r="T33" i="7" s="1"/>
  <c r="F34" i="7"/>
  <c r="C34" i="7"/>
  <c r="H34" i="7"/>
  <c r="K34" i="7" s="1"/>
  <c r="I32" i="7"/>
  <c r="AC32" i="7" s="1"/>
  <c r="N31" i="7"/>
  <c r="AC31" i="7"/>
  <c r="T31" i="7"/>
  <c r="M31" i="7"/>
  <c r="E35" i="7"/>
  <c r="B35" i="7" s="1"/>
  <c r="M33" i="6"/>
  <c r="K33" i="6"/>
  <c r="E35" i="6"/>
  <c r="F34" i="6"/>
  <c r="I34" i="6" s="1"/>
  <c r="L34" i="6" s="1"/>
  <c r="N34" i="6" s="1"/>
  <c r="H34" i="6"/>
  <c r="L32" i="6"/>
  <c r="N32" i="6" s="1"/>
  <c r="AC32" i="6"/>
  <c r="M32" i="6"/>
  <c r="K30" i="4"/>
  <c r="I30" i="4"/>
  <c r="M30" i="4" s="1"/>
  <c r="E33" i="4"/>
  <c r="AC29" i="4"/>
  <c r="T29" i="4"/>
  <c r="L29" i="4"/>
  <c r="N29" i="4" s="1"/>
  <c r="T31" i="4"/>
  <c r="L31" i="4"/>
  <c r="N31" i="4" s="1"/>
  <c r="AC30" i="2"/>
  <c r="L30" i="2"/>
  <c r="N30" i="2" s="1"/>
  <c r="M30" i="2"/>
  <c r="M32" i="2"/>
  <c r="I31" i="2"/>
  <c r="L32" i="2"/>
  <c r="N32" i="2" s="1"/>
  <c r="E34" i="2"/>
  <c r="F34" i="2" s="1"/>
  <c r="I33" i="2"/>
  <c r="H33" i="2"/>
  <c r="K33" i="2" s="1"/>
  <c r="H33" i="11" l="1"/>
  <c r="AU33" i="11"/>
  <c r="AD33" i="11"/>
  <c r="AF33" i="11" s="1"/>
  <c r="N33" i="11"/>
  <c r="T33" i="11"/>
  <c r="AA33" i="11"/>
  <c r="AC33" i="11"/>
  <c r="AE33" i="11"/>
  <c r="K33" i="11"/>
  <c r="Y32" i="9"/>
  <c r="K32" i="9"/>
  <c r="AA32" i="9"/>
  <c r="P32" i="9"/>
  <c r="AT33" i="9"/>
  <c r="F33" i="9"/>
  <c r="M33" i="9" s="1"/>
  <c r="J33" i="9"/>
  <c r="S33" i="9"/>
  <c r="Z32" i="9"/>
  <c r="AB32" i="9" s="1"/>
  <c r="AQ32" i="9"/>
  <c r="N32" i="9"/>
  <c r="T32" i="9"/>
  <c r="W32" i="9"/>
  <c r="L33" i="7"/>
  <c r="N33" i="7" s="1"/>
  <c r="I34" i="7"/>
  <c r="T34" i="7" s="1"/>
  <c r="L34" i="7"/>
  <c r="N34" i="7" s="1"/>
  <c r="L32" i="7"/>
  <c r="N32" i="7" s="1"/>
  <c r="M33" i="7"/>
  <c r="M34" i="7"/>
  <c r="M32" i="7"/>
  <c r="T32" i="7"/>
  <c r="F35" i="7"/>
  <c r="H35" i="7"/>
  <c r="K35" i="7" s="1"/>
  <c r="C35" i="7"/>
  <c r="E36" i="7"/>
  <c r="E36" i="6"/>
  <c r="F35" i="6"/>
  <c r="I35" i="6" s="1"/>
  <c r="L35" i="6" s="1"/>
  <c r="N35" i="6" s="1"/>
  <c r="H35" i="6"/>
  <c r="M34" i="6"/>
  <c r="K34" i="6"/>
  <c r="T30" i="4"/>
  <c r="L30" i="4"/>
  <c r="N30" i="4" s="1"/>
  <c r="AC30" i="4"/>
  <c r="L32" i="4"/>
  <c r="N32" i="4" s="1"/>
  <c r="T32" i="4"/>
  <c r="E34" i="4"/>
  <c r="L31" i="2"/>
  <c r="N31" i="2" s="1"/>
  <c r="M31" i="2"/>
  <c r="AC31" i="2"/>
  <c r="M33" i="2"/>
  <c r="L33" i="2"/>
  <c r="N33" i="2" s="1"/>
  <c r="E35" i="2"/>
  <c r="F35" i="2" s="1"/>
  <c r="I34" i="2"/>
  <c r="H34" i="2"/>
  <c r="K34" i="2" s="1"/>
  <c r="Y33" i="9" l="1"/>
  <c r="K33" i="9"/>
  <c r="AA33" i="9"/>
  <c r="AQ33" i="9"/>
  <c r="Z33" i="9"/>
  <c r="AB33" i="9" s="1"/>
  <c r="N33" i="9"/>
  <c r="P33" i="9"/>
  <c r="W33" i="9"/>
  <c r="T33" i="9"/>
  <c r="H33" i="9"/>
  <c r="I35" i="7"/>
  <c r="T35" i="7" s="1"/>
  <c r="B36" i="7"/>
  <c r="K35" i="6"/>
  <c r="M35" i="6"/>
  <c r="H36" i="6"/>
  <c r="F36" i="6"/>
  <c r="I36" i="6" s="1"/>
  <c r="L36" i="6" s="1"/>
  <c r="N36" i="6" s="1"/>
  <c r="L33" i="4"/>
  <c r="N33" i="4" s="1"/>
  <c r="T33" i="4"/>
  <c r="M34" i="2"/>
  <c r="L34" i="2"/>
  <c r="N34" i="2" s="1"/>
  <c r="I35" i="2"/>
  <c r="H35" i="2"/>
  <c r="K35" i="2" s="1"/>
  <c r="M35" i="7" l="1"/>
  <c r="L35" i="7"/>
  <c r="N35" i="7" s="1"/>
  <c r="F36" i="7"/>
  <c r="C36" i="7"/>
  <c r="H36" i="7"/>
  <c r="K36" i="7" s="1"/>
  <c r="K36" i="6"/>
  <c r="M36" i="6"/>
  <c r="T34" i="4"/>
  <c r="L34" i="4"/>
  <c r="N34" i="4" s="1"/>
  <c r="M35" i="2"/>
  <c r="L35" i="2"/>
  <c r="N35" i="2" s="1"/>
  <c r="F9" i="7"/>
  <c r="I9" i="7" s="1"/>
  <c r="K9" i="7"/>
  <c r="N9" i="7" l="1"/>
  <c r="I36" i="7"/>
  <c r="M36" i="7" s="1"/>
  <c r="L36" i="7"/>
  <c r="N36" i="7" s="1"/>
  <c r="M9" i="7"/>
  <c r="T36" i="7" l="1"/>
  <c r="F9" i="8" l="1"/>
  <c r="J9" i="8" l="1"/>
  <c r="K9" i="8" s="1"/>
  <c r="H9" i="8"/>
  <c r="Y9" i="8" l="1"/>
  <c r="AT12" i="8"/>
  <c r="J12" i="8"/>
  <c r="K12" i="8" s="1"/>
  <c r="F12" i="8"/>
  <c r="AM12" i="8"/>
  <c r="H12" i="8" l="1"/>
  <c r="Y12" i="8"/>
  <c r="J13" i="8"/>
  <c r="AT13" i="8"/>
  <c r="Y13" i="8" l="1"/>
  <c r="K13" i="8"/>
  <c r="AM13" i="8"/>
  <c r="F13" i="8"/>
  <c r="AM14" i="8"/>
  <c r="E14" i="8"/>
  <c r="AM15" i="8"/>
  <c r="E15" i="8"/>
  <c r="H13" i="8" l="1"/>
  <c r="AT14" i="8"/>
  <c r="G14" i="8"/>
  <c r="G15" i="8"/>
  <c r="J14" i="8"/>
  <c r="K14" i="8" s="1"/>
  <c r="J15" i="8"/>
  <c r="K15" i="8" s="1"/>
  <c r="S34" i="8"/>
  <c r="S35" i="8"/>
  <c r="M13" i="8"/>
  <c r="N13" i="8" s="1"/>
  <c r="M12" i="8"/>
  <c r="N12" i="8" s="1"/>
  <c r="M11" i="8"/>
  <c r="N11" i="8" s="1"/>
  <c r="S9" i="8"/>
  <c r="T9" i="8" s="1"/>
  <c r="W9" i="8" s="1"/>
  <c r="AT15" i="8"/>
  <c r="F15" i="8"/>
  <c r="M15" i="8" s="1"/>
  <c r="N15" i="8" s="1"/>
  <c r="F14" i="8"/>
  <c r="M14" i="8" s="1"/>
  <c r="T35" i="8" l="1"/>
  <c r="T34" i="8"/>
  <c r="Y15" i="8"/>
  <c r="Y14" i="8"/>
  <c r="N14" i="8"/>
  <c r="H14" i="8"/>
  <c r="G16" i="8"/>
  <c r="H15" i="8"/>
  <c r="G18" i="8"/>
  <c r="J16" i="8"/>
  <c r="K16" i="8" s="1"/>
  <c r="F16" i="8"/>
  <c r="M16" i="8" s="1"/>
  <c r="AQ14" i="8"/>
  <c r="S12" i="8"/>
  <c r="T12" i="8" s="1"/>
  <c r="W12" i="8" s="1"/>
  <c r="P12" i="8"/>
  <c r="S13" i="8"/>
  <c r="T13" i="8" s="1"/>
  <c r="W13" i="8" s="1"/>
  <c r="P13" i="8"/>
  <c r="AT18" i="8"/>
  <c r="S37" i="8"/>
  <c r="P15" i="8"/>
  <c r="Q20" i="8" s="1"/>
  <c r="V20" i="8" s="1"/>
  <c r="S15" i="8"/>
  <c r="P14" i="8"/>
  <c r="Q19" i="8" s="1"/>
  <c r="V19" i="8" s="1"/>
  <c r="S14" i="8"/>
  <c r="P9" i="8"/>
  <c r="Q9" i="8" s="1"/>
  <c r="V9" i="8" s="1"/>
  <c r="M9" i="8"/>
  <c r="N9" i="8" s="1"/>
  <c r="P11" i="8"/>
  <c r="S11" i="8"/>
  <c r="T11" i="8" s="1"/>
  <c r="W11" i="8" s="1"/>
  <c r="S36" i="8"/>
  <c r="T14" i="8" l="1"/>
  <c r="W14" i="8"/>
  <c r="T37" i="8"/>
  <c r="T36" i="8"/>
  <c r="T15" i="8"/>
  <c r="W15" i="8"/>
  <c r="Q11" i="8"/>
  <c r="V11" i="8" s="1"/>
  <c r="Q16" i="8"/>
  <c r="V16" i="8" s="1"/>
  <c r="Q12" i="8"/>
  <c r="V12" i="8" s="1"/>
  <c r="Q13" i="8"/>
  <c r="V13" i="8" s="1"/>
  <c r="Q18" i="8"/>
  <c r="V18" i="8" s="1"/>
  <c r="P16" i="8"/>
  <c r="Q21" i="8" s="1"/>
  <c r="V21" i="8" s="1"/>
  <c r="Q14" i="8"/>
  <c r="V14" i="8" s="1"/>
  <c r="S16" i="8"/>
  <c r="Q15" i="8"/>
  <c r="V15" i="8" s="1"/>
  <c r="Z16" i="8"/>
  <c r="AB16" i="8" s="1"/>
  <c r="G19" i="8"/>
  <c r="J18" i="8"/>
  <c r="K18" i="8" s="1"/>
  <c r="Q22" i="8"/>
  <c r="V22" i="8" s="1"/>
  <c r="Y16" i="8"/>
  <c r="H16" i="8"/>
  <c r="Z14" i="8"/>
  <c r="AB14" i="8" s="1"/>
  <c r="AA14" i="8"/>
  <c r="AP14" i="8"/>
  <c r="AN14" i="8" s="1"/>
  <c r="AA13" i="8"/>
  <c r="Z13" i="8"/>
  <c r="AB13" i="8" s="1"/>
  <c r="AP13" i="8"/>
  <c r="AN13" i="8" s="1"/>
  <c r="AQ13" i="8"/>
  <c r="AA12" i="8"/>
  <c r="AP12" i="8"/>
  <c r="AN12" i="8" s="1"/>
  <c r="AQ12" i="8"/>
  <c r="Z12" i="8"/>
  <c r="AB12" i="8" s="1"/>
  <c r="AQ15" i="8"/>
  <c r="AP15" i="8"/>
  <c r="AN15" i="8" s="1"/>
  <c r="Z15" i="8"/>
  <c r="AB15" i="8" s="1"/>
  <c r="AA15" i="8"/>
  <c r="Z11" i="8"/>
  <c r="AB11" i="8" s="1"/>
  <c r="AA11" i="8"/>
  <c r="AS11" i="8"/>
  <c r="AQ11" i="8"/>
  <c r="Z9" i="8"/>
  <c r="AB9" i="8" s="1"/>
  <c r="AA9" i="8"/>
  <c r="G20" i="8"/>
  <c r="AT19" i="8"/>
  <c r="J19" i="8"/>
  <c r="K19" i="8" s="1"/>
  <c r="T16" i="8" l="1"/>
  <c r="W16" i="8"/>
  <c r="N16" i="8"/>
  <c r="O16" i="8" s="1"/>
  <c r="AA16" i="8"/>
  <c r="Y18" i="8"/>
  <c r="AT20" i="8"/>
  <c r="J20" i="8"/>
  <c r="K20" i="8" s="1"/>
  <c r="G21" i="8"/>
  <c r="Y19" i="8"/>
  <c r="AM20" i="8" l="1"/>
  <c r="AT21" i="8"/>
  <c r="F21" i="8"/>
  <c r="M21" i="8" s="1"/>
  <c r="G22" i="8"/>
  <c r="J21" i="8"/>
  <c r="K21" i="8" s="1"/>
  <c r="F20" i="8"/>
  <c r="M20" i="8" s="1"/>
  <c r="Y20" i="8"/>
  <c r="Z20" i="8" l="1"/>
  <c r="AB20" i="8" s="1"/>
  <c r="J22" i="8"/>
  <c r="K22" i="8" s="1"/>
  <c r="AT22" i="8"/>
  <c r="H21" i="8"/>
  <c r="AM21" i="8"/>
  <c r="AA21" i="8"/>
  <c r="P20" i="8"/>
  <c r="Q25" i="8" s="1"/>
  <c r="V25" i="8" s="1"/>
  <c r="S20" i="8"/>
  <c r="Y21" i="8"/>
  <c r="H20" i="8"/>
  <c r="T20" i="8" l="1"/>
  <c r="W20" i="8"/>
  <c r="G23" i="8"/>
  <c r="AQ20" i="8"/>
  <c r="AA20" i="8"/>
  <c r="N20" i="8"/>
  <c r="AT23" i="8"/>
  <c r="J23" i="8"/>
  <c r="K23" i="8" s="1"/>
  <c r="Z21" i="8"/>
  <c r="AB21" i="8" s="1"/>
  <c r="AQ21" i="8"/>
  <c r="P21" i="8"/>
  <c r="Q26" i="8" s="1"/>
  <c r="V26" i="8" s="1"/>
  <c r="S21" i="8"/>
  <c r="AM22" i="8"/>
  <c r="N21" i="8"/>
  <c r="F22" i="8"/>
  <c r="M22" i="8" s="1"/>
  <c r="Y22" i="8"/>
  <c r="T21" i="8" l="1"/>
  <c r="W21" i="8"/>
  <c r="G24" i="8"/>
  <c r="F24" i="8"/>
  <c r="M24" i="8" s="1"/>
  <c r="Z22" i="8"/>
  <c r="AB22" i="8" s="1"/>
  <c r="AM23" i="8"/>
  <c r="S22" i="8"/>
  <c r="P22" i="8"/>
  <c r="Q27" i="8" s="1"/>
  <c r="V27" i="8" s="1"/>
  <c r="F23" i="8"/>
  <c r="J24" i="8"/>
  <c r="K24" i="8" s="1"/>
  <c r="H22" i="8"/>
  <c r="Y23" i="8"/>
  <c r="T22" i="8" l="1"/>
  <c r="W22" i="8"/>
  <c r="H23" i="8"/>
  <c r="M23" i="8"/>
  <c r="N23" i="8" s="1"/>
  <c r="F26" i="8"/>
  <c r="H26" i="8" s="1"/>
  <c r="H24" i="8"/>
  <c r="AA22" i="8"/>
  <c r="N22" i="8"/>
  <c r="AQ22" i="8"/>
  <c r="AT26" i="8"/>
  <c r="J26" i="8"/>
  <c r="K26" i="8" s="1"/>
  <c r="Y24" i="8"/>
  <c r="P23" i="8"/>
  <c r="Q28" i="8" s="1"/>
  <c r="V28" i="8" s="1"/>
  <c r="S23" i="8"/>
  <c r="AT25" i="8"/>
  <c r="J25" i="8"/>
  <c r="K25" i="8" s="1"/>
  <c r="T23" i="8" l="1"/>
  <c r="W23" i="8"/>
  <c r="AQ23" i="8"/>
  <c r="Z23" i="8"/>
  <c r="AB23" i="8" s="1"/>
  <c r="AA23" i="8"/>
  <c r="Y25" i="8"/>
  <c r="Y26" i="8"/>
  <c r="G25" i="8"/>
  <c r="AM25" i="8"/>
  <c r="AM26" i="8"/>
  <c r="P24" i="8"/>
  <c r="Q29" i="8" s="1"/>
  <c r="V29" i="8" s="1"/>
  <c r="S24" i="8"/>
  <c r="F25" i="8"/>
  <c r="M25" i="8" s="1"/>
  <c r="J27" i="8"/>
  <c r="K27" i="8" s="1"/>
  <c r="AT27" i="8"/>
  <c r="T24" i="8" l="1"/>
  <c r="W24" i="8"/>
  <c r="H25" i="8"/>
  <c r="AA25" i="8"/>
  <c r="Z24" i="8"/>
  <c r="AB24" i="8" s="1"/>
  <c r="AA24" i="8"/>
  <c r="N24" i="8"/>
  <c r="G27" i="8"/>
  <c r="AM27" i="8"/>
  <c r="P26" i="8"/>
  <c r="Q31" i="8" s="1"/>
  <c r="V31" i="8" s="1"/>
  <c r="S26" i="8"/>
  <c r="S25" i="8"/>
  <c r="P25" i="8"/>
  <c r="Q30" i="8" s="1"/>
  <c r="V30" i="8" s="1"/>
  <c r="Y27" i="8"/>
  <c r="F27" i="8"/>
  <c r="M26" i="8"/>
  <c r="T25" i="8" l="1"/>
  <c r="W25" i="8"/>
  <c r="T26" i="8"/>
  <c r="W26" i="8"/>
  <c r="H27" i="8"/>
  <c r="N25" i="8"/>
  <c r="Z25" i="8"/>
  <c r="AB25" i="8" s="1"/>
  <c r="AQ25" i="8"/>
  <c r="Z26" i="8"/>
  <c r="AB26" i="8" s="1"/>
  <c r="AQ26" i="8"/>
  <c r="AA26" i="8"/>
  <c r="N26" i="8"/>
  <c r="S27" i="8"/>
  <c r="P27" i="8"/>
  <c r="Q32" i="8" s="1"/>
  <c r="V32" i="8" s="1"/>
  <c r="M27" i="8"/>
  <c r="T27" i="8" l="1"/>
  <c r="W27" i="8"/>
  <c r="AQ27" i="8"/>
  <c r="Z27" i="8"/>
  <c r="AB27" i="8" s="1"/>
  <c r="N27" i="8"/>
  <c r="AA27" i="8"/>
  <c r="F18" i="8" l="1"/>
  <c r="F19" i="8"/>
  <c r="P18" i="8"/>
  <c r="Q23" i="8" s="1"/>
  <c r="V23" i="8" s="1"/>
  <c r="AM19" i="8"/>
  <c r="AM18" i="8"/>
  <c r="H18" i="8" l="1"/>
  <c r="H19" i="8"/>
  <c r="P19" i="8"/>
  <c r="Q24" i="8" s="1"/>
  <c r="V24" i="8" s="1"/>
  <c r="S19" i="8"/>
  <c r="S18" i="8"/>
  <c r="T19" i="8" l="1"/>
  <c r="W19" i="8"/>
  <c r="T18" i="8"/>
  <c r="W18" i="8"/>
  <c r="N19" i="8"/>
  <c r="AQ19" i="8"/>
  <c r="Z19" i="8"/>
  <c r="AB19" i="8" s="1"/>
  <c r="AA19" i="8"/>
  <c r="AA18" i="8"/>
  <c r="N18" i="8"/>
  <c r="Z18" i="8"/>
  <c r="AB18" i="8" s="1"/>
  <c r="AQ18" i="8"/>
  <c r="G28" i="8"/>
  <c r="J28" i="8"/>
  <c r="K28" i="8" s="1"/>
  <c r="AM28" i="8"/>
  <c r="S28" i="8" l="1"/>
  <c r="P28" i="8"/>
  <c r="Q33" i="8" s="1"/>
  <c r="V33" i="8" s="1"/>
  <c r="Y28" i="8"/>
  <c r="F28" i="8"/>
  <c r="M28" i="8" s="1"/>
  <c r="AA28" i="8" s="1"/>
  <c r="AT28" i="8"/>
  <c r="T28" i="8" l="1"/>
  <c r="W28" i="8"/>
  <c r="AQ28" i="8"/>
  <c r="Z28" i="8"/>
  <c r="AB28" i="8" s="1"/>
  <c r="N28" i="8"/>
  <c r="H28" i="8"/>
  <c r="G29" i="8"/>
  <c r="AM32" i="8"/>
  <c r="G31" i="8"/>
  <c r="AM30" i="8"/>
  <c r="G32" i="8"/>
  <c r="AM29" i="8"/>
  <c r="AM33" i="8"/>
  <c r="G30" i="8"/>
  <c r="AM31" i="8"/>
  <c r="E29" i="8"/>
  <c r="F29" i="8" s="1"/>
  <c r="M29" i="8" s="1"/>
  <c r="E30" i="8"/>
  <c r="AT30" i="8" s="1"/>
  <c r="E31" i="8"/>
  <c r="AT31" i="8" s="1"/>
  <c r="G33" i="8"/>
  <c r="E33" i="8"/>
  <c r="AT33" i="8" s="1"/>
  <c r="E32" i="8"/>
  <c r="F32" i="8" s="1"/>
  <c r="S33" i="8" l="1"/>
  <c r="S31" i="8"/>
  <c r="J33" i="8"/>
  <c r="K33" i="8" s="1"/>
  <c r="S30" i="8"/>
  <c r="S32" i="8"/>
  <c r="S29" i="8"/>
  <c r="J32" i="8"/>
  <c r="K32" i="8" s="1"/>
  <c r="AT32" i="8"/>
  <c r="F33" i="8"/>
  <c r="H32" i="8"/>
  <c r="M32" i="8"/>
  <c r="Z29" i="8"/>
  <c r="AB29" i="8" s="1"/>
  <c r="AQ29" i="8"/>
  <c r="N29" i="8"/>
  <c r="AT29" i="8"/>
  <c r="J29" i="8"/>
  <c r="K29" i="8" s="1"/>
  <c r="H29" i="8"/>
  <c r="J31" i="8"/>
  <c r="K31" i="8" s="1"/>
  <c r="J30" i="8"/>
  <c r="K30" i="8" s="1"/>
  <c r="F30" i="8"/>
  <c r="F31" i="8"/>
  <c r="T29" i="8" l="1"/>
  <c r="W29" i="8"/>
  <c r="T31" i="8"/>
  <c r="T30" i="8"/>
  <c r="T32" i="8"/>
  <c r="W32" i="8"/>
  <c r="T33" i="8"/>
  <c r="Y32" i="8"/>
  <c r="P32" i="8"/>
  <c r="Y33" i="8"/>
  <c r="P33" i="8"/>
  <c r="H33" i="8"/>
  <c r="M33" i="8"/>
  <c r="W33" i="8" s="1"/>
  <c r="H31" i="8"/>
  <c r="M31" i="8"/>
  <c r="AA31" i="8" s="1"/>
  <c r="P31" i="8"/>
  <c r="Y31" i="8"/>
  <c r="J34" i="8"/>
  <c r="K34" i="8" s="1"/>
  <c r="F34" i="8"/>
  <c r="M30" i="8"/>
  <c r="AA30" i="8" s="1"/>
  <c r="H30" i="8"/>
  <c r="Y29" i="8"/>
  <c r="P29" i="8"/>
  <c r="AA29" i="8"/>
  <c r="AQ32" i="8"/>
  <c r="N32" i="8"/>
  <c r="Z32" i="8"/>
  <c r="AB32" i="8" s="1"/>
  <c r="Y30" i="8"/>
  <c r="P30" i="8"/>
  <c r="AA32" i="8"/>
  <c r="W31" i="8" l="1"/>
  <c r="W30" i="8"/>
  <c r="AQ33" i="8"/>
  <c r="Z33" i="8"/>
  <c r="AB33" i="8" s="1"/>
  <c r="AA33" i="8"/>
  <c r="N33" i="8"/>
  <c r="F35" i="8"/>
  <c r="J35" i="8"/>
  <c r="K35" i="8" s="1"/>
  <c r="N30" i="8"/>
  <c r="AQ30" i="8"/>
  <c r="Z30" i="8"/>
  <c r="AB30" i="8" s="1"/>
  <c r="P34" i="8"/>
  <c r="Q34" i="8" s="1"/>
  <c r="V34" i="8" s="1"/>
  <c r="Y34" i="8"/>
  <c r="N31" i="8"/>
  <c r="AQ31" i="8"/>
  <c r="Z31" i="8"/>
  <c r="AB31" i="8" s="1"/>
  <c r="H34" i="8"/>
  <c r="M34" i="8"/>
  <c r="W34" i="8" s="1"/>
  <c r="F36" i="8" l="1"/>
  <c r="J36" i="8"/>
  <c r="K36" i="8" s="1"/>
  <c r="Z34" i="8"/>
  <c r="AB34" i="8" s="1"/>
  <c r="N34" i="8"/>
  <c r="AA34" i="8"/>
  <c r="P35" i="8"/>
  <c r="Q35" i="8" s="1"/>
  <c r="V35" i="8" s="1"/>
  <c r="Y35" i="8"/>
  <c r="H35" i="8"/>
  <c r="M35" i="8"/>
  <c r="W35" i="8" s="1"/>
  <c r="Z35" i="8" l="1"/>
  <c r="AB35" i="8" s="1"/>
  <c r="N35" i="8"/>
  <c r="AA35" i="8"/>
  <c r="J37" i="8"/>
  <c r="K37" i="8" s="1"/>
  <c r="F37" i="8"/>
  <c r="Y36" i="8"/>
  <c r="P36" i="8"/>
  <c r="Q36" i="8" s="1"/>
  <c r="V36" i="8" s="1"/>
  <c r="H36" i="8"/>
  <c r="M36" i="8"/>
  <c r="W36" i="8" s="1"/>
  <c r="P37" i="8" l="1"/>
  <c r="Q37" i="8" s="1"/>
  <c r="V37" i="8" s="1"/>
  <c r="Y37" i="8"/>
  <c r="N36" i="8"/>
  <c r="Z36" i="8"/>
  <c r="AB36" i="8" s="1"/>
  <c r="AA36" i="8"/>
  <c r="H37" i="8"/>
  <c r="M37" i="8"/>
  <c r="AA37" i="8" l="1"/>
  <c r="W37" i="8"/>
  <c r="N37" i="8"/>
  <c r="Z37" i="8"/>
  <c r="AB37" i="8" s="1"/>
</calcChain>
</file>

<file path=xl/sharedStrings.xml><?xml version="1.0" encoding="utf-8"?>
<sst xmlns="http://schemas.openxmlformats.org/spreadsheetml/2006/main" count="641" uniqueCount="115">
  <si>
    <t>סה"כ שנות עבודהשנות עבודה במשכורת אשנות עבודה במשכורת בפנסיה ממשכורת אפנסיה ממשכורת בסה"כ פנסיה 3020.339.67=20.33*0.02*10000=9.67*0.02*40000=B2+D23120.3310.67=20.33*0.02*10000=10.67*0.02*40000=B3+D33220.3311.67=20.33*0.02*10000=11.67*0.02*40000=B4+D43320.3זז12.67*0.02*40000=B5+D53420.3313.67=20.33*0.02*10000=13.67*0.02*40000=B6+D63520.3314.67=20.33*0.02*10000=14.67*0.02*40000=B7+D73620.3315.67=20.33*0.02*10000=15.67*0.02*40000=B8+D83720.3316.67=20.33*0.02*10000=16.67*0.02*40000=B9+D93820.3317.67=20.33*0.02*10000=17.67*0.02*40000=B10+D103920.3318.67=20.33*0.02*10000=18.67*0.02*40000=B11+D11</t>
  </si>
  <si>
    <t>כתב מינוי</t>
  </si>
  <si>
    <t>משכורת</t>
  </si>
  <si>
    <t>פנסיה</t>
  </si>
  <si>
    <t>שכר חוזה</t>
  </si>
  <si>
    <t>ס"ה שרות</t>
  </si>
  <si>
    <t>ס"ה פנסיה</t>
  </si>
  <si>
    <t>אחוז פנסיה</t>
  </si>
  <si>
    <t>לתקופת חוזה</t>
  </si>
  <si>
    <t>תקופת כ.מנוי</t>
  </si>
  <si>
    <t>שנים</t>
  </si>
  <si>
    <t xml:space="preserve">אחוז מס"ה </t>
  </si>
  <si>
    <t xml:space="preserve">התוספת </t>
  </si>
  <si>
    <t>לשנה (%)</t>
  </si>
  <si>
    <t xml:space="preserve"> שנים בחוזה</t>
  </si>
  <si>
    <t>שנות שרות</t>
  </si>
  <si>
    <t>שנים כ.מינוי</t>
  </si>
  <si>
    <t>אחוז מס"ה</t>
  </si>
  <si>
    <t>פנסיה (2)</t>
  </si>
  <si>
    <t>הפנסיה</t>
  </si>
  <si>
    <t xml:space="preserve">  ('2%X טור 3)</t>
  </si>
  <si>
    <t>אחוז(5)מ(2)</t>
  </si>
  <si>
    <t>פנסיה לפי</t>
  </si>
  <si>
    <t>טור6 חלקי טור3</t>
  </si>
  <si>
    <t>לשנה</t>
  </si>
  <si>
    <t>שכר חודשי</t>
  </si>
  <si>
    <t>אחוז שנות</t>
  </si>
  <si>
    <t>נוסחת נשמ</t>
  </si>
  <si>
    <t>נוסחת נש"מ</t>
  </si>
  <si>
    <t xml:space="preserve">חוזה מס"ה </t>
  </si>
  <si>
    <t>כולל</t>
  </si>
  <si>
    <t>(עד 70%)</t>
  </si>
  <si>
    <t>(טור(3) חלקי (1</t>
  </si>
  <si>
    <t xml:space="preserve"> שעורהפנסיה</t>
  </si>
  <si>
    <t>לשנה (מ-2%)</t>
  </si>
  <si>
    <t>מ2% לשנה</t>
  </si>
  <si>
    <t xml:space="preserve">לפי חוזה </t>
  </si>
  <si>
    <t>תוצאת נוסחת נש"מ</t>
  </si>
  <si>
    <t xml:space="preserve">   תקופת השרות</t>
  </si>
  <si>
    <t>לכל שנה</t>
  </si>
  <si>
    <t xml:space="preserve">       זכויות פנסיה ע"פ חוק/תקשי"ר</t>
  </si>
  <si>
    <t xml:space="preserve">   תקופת החוזה</t>
  </si>
  <si>
    <r>
      <rPr>
        <u/>
        <sz val="11"/>
        <color theme="1"/>
        <rFont val="Arial"/>
        <family val="2"/>
        <scheme val="minor"/>
      </rPr>
      <t>אחוז</t>
    </r>
    <r>
      <rPr>
        <sz val="11"/>
        <color theme="1"/>
        <rFont val="Arial"/>
        <family val="2"/>
        <charset val="177"/>
        <scheme val="minor"/>
      </rPr>
      <t xml:space="preserve"> </t>
    </r>
    <r>
      <rPr>
        <sz val="11"/>
        <color theme="1"/>
        <rFont val="Arial"/>
        <family val="2"/>
        <scheme val="minor"/>
      </rPr>
      <t xml:space="preserve">הקטנת  </t>
    </r>
  </si>
  <si>
    <r>
      <rPr>
        <u/>
        <sz val="11"/>
        <color theme="1"/>
        <rFont val="Arial"/>
        <family val="2"/>
        <scheme val="minor"/>
      </rPr>
      <t>שעור</t>
    </r>
    <r>
      <rPr>
        <sz val="11"/>
        <color theme="1"/>
        <rFont val="Arial"/>
        <family val="2"/>
        <scheme val="minor"/>
      </rPr>
      <t xml:space="preserve"> הקטנת  </t>
    </r>
  </si>
  <si>
    <t>טור5 מינוס טור6</t>
  </si>
  <si>
    <t xml:space="preserve">           שעורי פנסיה לפי משכורת חוזה לתקופת חוזה </t>
  </si>
  <si>
    <t>לפי נש"מ</t>
  </si>
  <si>
    <t xml:space="preserve">כ. מנוי מס"ה </t>
  </si>
  <si>
    <t>(20.33חלקי טור1</t>
  </si>
  <si>
    <t>טור4 כפול טור2</t>
  </si>
  <si>
    <r>
      <rPr>
        <u/>
        <sz val="11"/>
        <color theme="1"/>
        <rFont val="Arial"/>
        <family val="2"/>
        <scheme val="minor"/>
      </rPr>
      <t>שעור</t>
    </r>
    <r>
      <rPr>
        <sz val="11"/>
        <color theme="1"/>
        <rFont val="Arial"/>
        <family val="2"/>
        <scheme val="minor"/>
      </rPr>
      <t xml:space="preserve"> שינוי   </t>
    </r>
  </si>
  <si>
    <t xml:space="preserve">           שעורי פנסיה לפי משכורת כ. מנוי לתקופת כ. מינוי</t>
  </si>
  <si>
    <t xml:space="preserve"> </t>
  </si>
  <si>
    <t xml:space="preserve">          ב פ ו ע ל</t>
  </si>
  <si>
    <t>טור5 חלקי 3</t>
  </si>
  <si>
    <t>ע"פ חוזה</t>
  </si>
  <si>
    <r>
      <t xml:space="preserve">אחוז פנסית חוזה לשנה  </t>
    </r>
    <r>
      <rPr>
        <b/>
        <sz val="11"/>
        <color theme="1"/>
        <rFont val="Arial"/>
        <family val="2"/>
        <scheme val="minor"/>
      </rPr>
      <t xml:space="preserve"> </t>
    </r>
  </si>
  <si>
    <t xml:space="preserve"> בכתב מנוי</t>
  </si>
  <si>
    <t xml:space="preserve">יחס טור8 ל-2% </t>
  </si>
  <si>
    <t xml:space="preserve"> שעור הפנסיה</t>
  </si>
  <si>
    <t>בכתב מינוי</t>
  </si>
  <si>
    <r>
      <rPr>
        <u/>
        <sz val="11"/>
        <color theme="1"/>
        <rFont val="Arial"/>
        <family val="2"/>
        <scheme val="minor"/>
      </rPr>
      <t xml:space="preserve">% </t>
    </r>
    <r>
      <rPr>
        <sz val="11"/>
        <color theme="1"/>
        <rFont val="Arial"/>
        <family val="2"/>
        <scheme val="minor"/>
      </rPr>
      <t xml:space="preserve">השינוי  </t>
    </r>
  </si>
  <si>
    <r>
      <t xml:space="preserve">           </t>
    </r>
    <r>
      <rPr>
        <b/>
        <sz val="11"/>
        <color theme="1"/>
        <rFont val="Arial"/>
        <family val="2"/>
        <scheme val="minor"/>
      </rPr>
      <t xml:space="preserve">ב פ ו ע ל </t>
    </r>
  </si>
  <si>
    <t>כ. מינוי</t>
  </si>
  <si>
    <t>טור6 חלקי טור2</t>
  </si>
  <si>
    <t>לפי חוזה</t>
  </si>
  <si>
    <t xml:space="preserve">יתרת פנסיה </t>
  </si>
  <si>
    <t>ומקס. 70%</t>
  </si>
  <si>
    <t>עד20.33שנה X</t>
  </si>
  <si>
    <t>תוצאת</t>
  </si>
  <si>
    <t>נוסחת חוזה</t>
  </si>
  <si>
    <r>
      <rPr>
        <b/>
        <sz val="11"/>
        <color theme="1"/>
        <rFont val="Arial"/>
        <family val="2"/>
        <scheme val="minor"/>
      </rPr>
      <t>%</t>
    </r>
    <r>
      <rPr>
        <sz val="11"/>
        <color theme="1"/>
        <rFont val="Arial"/>
        <family val="2"/>
        <charset val="177"/>
        <scheme val="minor"/>
      </rPr>
      <t xml:space="preserve"> פנסיה כ. מינוי, </t>
    </r>
    <r>
      <rPr>
        <u/>
        <sz val="11"/>
        <color theme="1"/>
        <rFont val="Arial"/>
        <family val="2"/>
        <scheme val="minor"/>
      </rPr>
      <t>לשנה</t>
    </r>
    <r>
      <rPr>
        <sz val="11"/>
        <color theme="1"/>
        <rFont val="Arial"/>
        <family val="2"/>
        <charset val="177"/>
        <scheme val="minor"/>
      </rPr>
      <t xml:space="preserve">  </t>
    </r>
    <r>
      <rPr>
        <b/>
        <sz val="11"/>
        <color theme="1"/>
        <rFont val="Arial"/>
        <family val="2"/>
        <scheme val="minor"/>
      </rPr>
      <t xml:space="preserve"> </t>
    </r>
  </si>
  <si>
    <t>טור5 חלקי</t>
  </si>
  <si>
    <t>20.33-({1}-35)</t>
  </si>
  <si>
    <r>
      <t xml:space="preserve">פנסיה </t>
    </r>
    <r>
      <rPr>
        <b/>
        <sz val="11"/>
        <color theme="1"/>
        <rFont val="Arial"/>
        <family val="2"/>
        <scheme val="minor"/>
      </rPr>
      <t>כ.מינוי</t>
    </r>
    <r>
      <rPr>
        <sz val="11"/>
        <color theme="1"/>
        <rFont val="Arial"/>
        <family val="2"/>
        <charset val="177"/>
        <scheme val="minor"/>
      </rPr>
      <t xml:space="preserve"> </t>
    </r>
  </si>
  <si>
    <t>C15&lt;$B$14,I15/$B$6,I15/($B$6*F15)</t>
  </si>
  <si>
    <t xml:space="preserve">כ. מינוי מס"ה </t>
  </si>
  <si>
    <t>(20.33 חלקי (1)</t>
  </si>
  <si>
    <t xml:space="preserve">ס"ה שרות </t>
  </si>
  <si>
    <t>מינוי+חוזה</t>
  </si>
  <si>
    <t>(אחוזים)</t>
  </si>
  <si>
    <t>טור4+5</t>
  </si>
  <si>
    <t xml:space="preserve">פנסיה כ.מינוי </t>
  </si>
  <si>
    <t>כ.מנוי+חוזה</t>
  </si>
  <si>
    <t>% פנסיה</t>
  </si>
  <si>
    <t>על כל שנה</t>
  </si>
  <si>
    <t>בפועל</t>
  </si>
  <si>
    <t>טור6 חלקי (3)</t>
  </si>
  <si>
    <t xml:space="preserve">     תקופת כ. מינוי</t>
  </si>
  <si>
    <t>טור 7חלקי טור3</t>
  </si>
  <si>
    <t xml:space="preserve">  ('2% X טור 3)</t>
  </si>
  <si>
    <r>
      <t xml:space="preserve">ע"פ </t>
    </r>
    <r>
      <rPr>
        <sz val="12"/>
        <color theme="1"/>
        <rFont val="Arial"/>
        <family val="2"/>
        <scheme val="minor"/>
      </rPr>
      <t>סעיף 12 לחוזה</t>
    </r>
  </si>
  <si>
    <t xml:space="preserve">% פנסיה </t>
  </si>
  <si>
    <t xml:space="preserve">ס"ה פנסיה </t>
  </si>
  <si>
    <t>לת.חוזה לפי</t>
  </si>
  <si>
    <t>ס"ה אחוזי פנסיה</t>
  </si>
  <si>
    <t xml:space="preserve">     לפי נוסחת נש"מ</t>
  </si>
  <si>
    <t xml:space="preserve">    ת ק ו פ ת   ה ח ו ז ה</t>
  </si>
  <si>
    <t xml:space="preserve">עד20.33שנה </t>
  </si>
  <si>
    <t xml:space="preserve">%כ. מינוי </t>
  </si>
  <si>
    <t>טור7חלקי טור5</t>
  </si>
  <si>
    <t>טור9חלקי 20.33</t>
  </si>
  <si>
    <t xml:space="preserve">               זכויות פנסיה ע"פ חוק/תקשי"ר:</t>
  </si>
  <si>
    <t>ס"ה חוזה+מינוי</t>
  </si>
  <si>
    <t>:</t>
  </si>
  <si>
    <t xml:space="preserve">      תקופת כ. מינוי</t>
  </si>
  <si>
    <t>משכורת 46+:</t>
  </si>
  <si>
    <t xml:space="preserve">       ס"ה גימלה</t>
  </si>
  <si>
    <t xml:space="preserve">                     שעורי פנסיה (%) ע"פ החוזה לתקופת חוזה + ולתקופת כתב מינוי</t>
  </si>
  <si>
    <t xml:space="preserve">        ת ק ו פ ת   ה ח ו ז ה, שכר:</t>
  </si>
  <si>
    <t>₪</t>
  </si>
  <si>
    <t>פערים</t>
  </si>
  <si>
    <t>חוזה</t>
  </si>
  <si>
    <t>לנש"מ</t>
  </si>
  <si>
    <r>
      <t xml:space="preserve">הפרש </t>
    </r>
    <r>
      <rPr>
        <b/>
        <u/>
        <sz val="11"/>
        <color theme="1"/>
        <rFont val="Arial"/>
        <family val="2"/>
        <scheme val="minor"/>
      </rPr>
      <t>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</si>
</sst>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₪&quot;\ #,##0;&quot;₪&quot;\ \-#,##0"/>
    <numFmt numFmtId="164" formatCode="_ * #,##0_ ;_ * \-#,##0_ ;_ * &quot;-&quot;??_ ;_ @_ "/>
    <numFmt numFmtId="165" formatCode="0.0%"/>
    <numFmt numFmtId="166" formatCode="General\ &quot;שנה&quot;"/>
    <numFmt numFmtId="167" formatCode="General&quot;שנה&quot;"/>
    <numFmt numFmtId="168" formatCode="0%\ &quot;לשנה&quot;"/>
    <numFmt numFmtId="169" formatCode="0%\ \ל\ש\נ\ה"/>
    <numFmt numFmtId="170" formatCode="General\ "/>
    <numFmt numFmtId="174" formatCode="\(\ע\ד0%\)"/>
    <numFmt numFmtId="178" formatCode="0%\ &quot;לשנה, עד&quot;"/>
    <numFmt numFmtId="179" formatCode="General&quot;שנה (70%)&quot;"/>
    <numFmt numFmtId="181" formatCode="&quot;₪&quot;\ #,##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u/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u/>
      <sz val="1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sz val="11"/>
      <color rgb="FF00B050"/>
      <name val="Arial"/>
      <family val="2"/>
      <scheme val="minor"/>
    </font>
    <font>
      <b/>
      <u/>
      <sz val="11"/>
      <color rgb="FF00B050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4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8"/>
      <name val="Arial"/>
      <family val="2"/>
      <charset val="177"/>
      <scheme val="minor"/>
    </font>
    <font>
      <sz val="11"/>
      <color rgb="FFC00000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5">
    <xf numFmtId="0" fontId="0" fillId="0" borderId="0" xfId="0"/>
    <xf numFmtId="9" fontId="0" fillId="0" borderId="0" xfId="0" applyNumberFormat="1"/>
    <xf numFmtId="164" fontId="0" fillId="0" borderId="0" xfId="0" applyNumberFormat="1"/>
    <xf numFmtId="3" fontId="0" fillId="0" borderId="0" xfId="0" applyNumberFormat="1"/>
    <xf numFmtId="9" fontId="0" fillId="0" borderId="0" xfId="1" applyFont="1"/>
    <xf numFmtId="5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0" applyNumberFormat="1" applyFont="1"/>
    <xf numFmtId="9" fontId="3" fillId="0" borderId="0" xfId="0" applyNumberFormat="1" applyFont="1"/>
    <xf numFmtId="0" fontId="3" fillId="0" borderId="0" xfId="0" applyFont="1"/>
    <xf numFmtId="0" fontId="0" fillId="0" borderId="1" xfId="0" applyBorder="1" applyAlignment="1">
      <alignment horizontal="center"/>
    </xf>
    <xf numFmtId="9" fontId="0" fillId="0" borderId="1" xfId="1" applyFont="1" applyBorder="1"/>
    <xf numFmtId="164" fontId="0" fillId="0" borderId="1" xfId="0" applyNumberFormat="1" applyBorder="1"/>
    <xf numFmtId="9" fontId="0" fillId="0" borderId="0" xfId="1" applyFont="1" applyBorder="1" applyAlignment="1">
      <alignment horizontal="center"/>
    </xf>
    <xf numFmtId="9" fontId="0" fillId="2" borderId="0" xfId="1" applyFont="1" applyFill="1"/>
    <xf numFmtId="9" fontId="5" fillId="2" borderId="0" xfId="1" applyFont="1" applyFill="1" applyAlignment="1">
      <alignment horizontal="right"/>
    </xf>
    <xf numFmtId="10" fontId="0" fillId="3" borderId="0" xfId="1" applyNumberFormat="1" applyFont="1" applyFill="1"/>
    <xf numFmtId="9" fontId="6" fillId="0" borderId="0" xfId="0" applyNumberFormat="1" applyFont="1" applyAlignment="1">
      <alignment horizontal="right"/>
    </xf>
    <xf numFmtId="10" fontId="5" fillId="0" borderId="0" xfId="1" applyNumberFormat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9" fontId="0" fillId="0" borderId="0" xfId="1" applyFont="1" applyFill="1"/>
    <xf numFmtId="9" fontId="5" fillId="0" borderId="0" xfId="1" applyFont="1" applyFill="1" applyAlignment="1">
      <alignment horizontal="right"/>
    </xf>
    <xf numFmtId="10" fontId="0" fillId="0" borderId="0" xfId="1" applyNumberFormat="1" applyFont="1" applyFill="1"/>
    <xf numFmtId="10" fontId="0" fillId="0" borderId="0" xfId="1" applyNumberFormat="1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9" fontId="8" fillId="2" borderId="0" xfId="1" applyFont="1" applyFill="1"/>
    <xf numFmtId="165" fontId="0" fillId="0" borderId="0" xfId="1" applyNumberFormat="1" applyFont="1" applyBorder="1" applyAlignment="1">
      <alignment horizontal="center"/>
    </xf>
    <xf numFmtId="9" fontId="0" fillId="0" borderId="0" xfId="1" applyFont="1" applyFill="1" applyBorder="1"/>
    <xf numFmtId="0" fontId="7" fillId="0" borderId="0" xfId="0" applyFont="1" applyAlignment="1">
      <alignment horizontal="center"/>
    </xf>
    <xf numFmtId="9" fontId="8" fillId="0" borderId="0" xfId="1" applyFont="1" applyBorder="1" applyAlignment="1">
      <alignment horizontal="center"/>
    </xf>
    <xf numFmtId="0" fontId="10" fillId="0" borderId="0" xfId="0" applyFont="1"/>
    <xf numFmtId="9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11" fillId="0" borderId="0" xfId="0" applyFont="1"/>
    <xf numFmtId="9" fontId="3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5" fontId="0" fillId="0" borderId="13" xfId="0" applyNumberFormat="1" applyBorder="1"/>
    <xf numFmtId="5" fontId="3" fillId="0" borderId="13" xfId="0" applyNumberFormat="1" applyFont="1" applyBorder="1"/>
    <xf numFmtId="9" fontId="6" fillId="0" borderId="13" xfId="0" applyNumberFormat="1" applyFont="1" applyBorder="1" applyAlignment="1">
      <alignment horizontal="center"/>
    </xf>
    <xf numFmtId="9" fontId="5" fillId="2" borderId="13" xfId="1" applyFont="1" applyFill="1" applyBorder="1" applyAlignment="1">
      <alignment horizontal="center"/>
    </xf>
    <xf numFmtId="9" fontId="9" fillId="2" borderId="13" xfId="1" applyFont="1" applyFill="1" applyBorder="1" applyAlignment="1">
      <alignment horizontal="center"/>
    </xf>
    <xf numFmtId="165" fontId="5" fillId="2" borderId="13" xfId="1" applyNumberFormat="1" applyFont="1" applyFill="1" applyBorder="1" applyAlignment="1">
      <alignment horizontal="center"/>
    </xf>
    <xf numFmtId="10" fontId="5" fillId="2" borderId="13" xfId="1" applyNumberFormat="1" applyFont="1" applyFill="1" applyBorder="1" applyAlignment="1">
      <alignment horizontal="center"/>
    </xf>
    <xf numFmtId="9" fontId="5" fillId="2" borderId="17" xfId="1" applyFont="1" applyFill="1" applyBorder="1" applyAlignment="1">
      <alignment horizontal="center"/>
    </xf>
    <xf numFmtId="9" fontId="9" fillId="0" borderId="0" xfId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0" xfId="0" applyFont="1"/>
    <xf numFmtId="165" fontId="0" fillId="0" borderId="16" xfId="1" applyNumberFormat="1" applyFont="1" applyBorder="1" applyAlignment="1">
      <alignment horizontal="center"/>
    </xf>
    <xf numFmtId="5" fontId="0" fillId="0" borderId="11" xfId="0" applyNumberFormat="1" applyBorder="1"/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5" fontId="0" fillId="0" borderId="8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11" fillId="0" borderId="18" xfId="0" applyFont="1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0" fillId="0" borderId="6" xfId="0" applyBorder="1"/>
    <xf numFmtId="0" fontId="11" fillId="0" borderId="18" xfId="0" applyFont="1" applyBorder="1"/>
    <xf numFmtId="0" fontId="11" fillId="0" borderId="6" xfId="0" applyFont="1" applyBorder="1"/>
    <xf numFmtId="165" fontId="5" fillId="0" borderId="0" xfId="1" applyNumberFormat="1" applyFont="1" applyFill="1" applyBorder="1" applyAlignment="1">
      <alignment horizontal="center"/>
    </xf>
    <xf numFmtId="10" fontId="0" fillId="0" borderId="0" xfId="0" applyNumberFormat="1"/>
    <xf numFmtId="0" fontId="11" fillId="0" borderId="4" xfId="0" applyFont="1" applyBorder="1"/>
    <xf numFmtId="0" fontId="11" fillId="0" borderId="8" xfId="0" applyFont="1" applyBorder="1"/>
    <xf numFmtId="0" fontId="11" fillId="0" borderId="23" xfId="0" applyFont="1" applyBorder="1" applyAlignment="1">
      <alignment horizontal="center"/>
    </xf>
    <xf numFmtId="9" fontId="6" fillId="0" borderId="0" xfId="0" applyNumberFormat="1" applyFont="1" applyAlignment="1">
      <alignment horizontal="left"/>
    </xf>
    <xf numFmtId="0" fontId="11" fillId="0" borderId="3" xfId="0" applyFont="1" applyBorder="1"/>
    <xf numFmtId="5" fontId="14" fillId="0" borderId="8" xfId="0" applyNumberFormat="1" applyFont="1" applyBorder="1" applyAlignment="1">
      <alignment horizontal="center"/>
    </xf>
    <xf numFmtId="0" fontId="0" fillId="0" borderId="20" xfId="0" applyBorder="1"/>
    <xf numFmtId="0" fontId="0" fillId="0" borderId="29" xfId="0" quotePrefix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9" fontId="6" fillId="0" borderId="20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9" fontId="5" fillId="0" borderId="20" xfId="1" applyFont="1" applyFill="1" applyBorder="1" applyAlignment="1">
      <alignment horizontal="center"/>
    </xf>
    <xf numFmtId="9" fontId="0" fillId="0" borderId="29" xfId="1" applyFont="1" applyBorder="1" applyAlignment="1">
      <alignment horizontal="center"/>
    </xf>
    <xf numFmtId="10" fontId="9" fillId="0" borderId="20" xfId="1" applyNumberFormat="1" applyFont="1" applyFill="1" applyBorder="1" applyAlignment="1">
      <alignment horizontal="center"/>
    </xf>
    <xf numFmtId="10" fontId="8" fillId="0" borderId="29" xfId="1" applyNumberFormat="1" applyFont="1" applyBorder="1" applyAlignment="1">
      <alignment horizontal="center"/>
    </xf>
    <xf numFmtId="10" fontId="0" fillId="0" borderId="29" xfId="1" applyNumberFormat="1" applyFont="1" applyBorder="1" applyAlignment="1">
      <alignment horizontal="center"/>
    </xf>
    <xf numFmtId="10" fontId="5" fillId="0" borderId="20" xfId="1" applyNumberFormat="1" applyFont="1" applyFill="1" applyBorder="1" applyAlignment="1">
      <alignment horizontal="center"/>
    </xf>
    <xf numFmtId="9" fontId="5" fillId="0" borderId="21" xfId="1" applyFont="1" applyFill="1" applyBorder="1" applyAlignment="1">
      <alignment horizontal="center"/>
    </xf>
    <xf numFmtId="9" fontId="0" fillId="0" borderId="30" xfId="1" applyFont="1" applyBorder="1" applyAlignment="1">
      <alignment horizontal="center"/>
    </xf>
    <xf numFmtId="0" fontId="0" fillId="0" borderId="0" xfId="0" quotePrefix="1" applyAlignment="1">
      <alignment horizontal="center"/>
    </xf>
    <xf numFmtId="10" fontId="8" fillId="0" borderId="0" xfId="1" applyNumberFormat="1" applyFont="1" applyBorder="1" applyAlignment="1">
      <alignment horizontal="center"/>
    </xf>
    <xf numFmtId="9" fontId="0" fillId="0" borderId="13" xfId="0" quotePrefix="1" applyNumberFormat="1" applyBorder="1"/>
    <xf numFmtId="0" fontId="3" fillId="0" borderId="20" xfId="0" applyFont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8" xfId="0" applyFont="1" applyBorder="1"/>
    <xf numFmtId="9" fontId="12" fillId="0" borderId="8" xfId="1" applyFont="1" applyBorder="1" applyAlignment="1">
      <alignment horizontal="center"/>
    </xf>
    <xf numFmtId="10" fontId="2" fillId="0" borderId="8" xfId="1" applyNumberFormat="1" applyFont="1" applyBorder="1" applyAlignment="1">
      <alignment horizontal="center"/>
    </xf>
    <xf numFmtId="10" fontId="2" fillId="0" borderId="13" xfId="1" applyNumberFormat="1" applyFont="1" applyBorder="1" applyAlignment="1">
      <alignment horizontal="center"/>
    </xf>
    <xf numFmtId="10" fontId="2" fillId="0" borderId="27" xfId="1" applyNumberFormat="1" applyFont="1" applyBorder="1" applyAlignment="1">
      <alignment horizontal="center"/>
    </xf>
    <xf numFmtId="10" fontId="2" fillId="0" borderId="17" xfId="1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  <xf numFmtId="9" fontId="12" fillId="0" borderId="2" xfId="1" applyFont="1" applyBorder="1" applyAlignment="1">
      <alignment horizontal="center"/>
    </xf>
    <xf numFmtId="0" fontId="0" fillId="0" borderId="19" xfId="0" applyBorder="1" applyAlignment="1">
      <alignment horizontal="center"/>
    </xf>
    <xf numFmtId="9" fontId="12" fillId="0" borderId="29" xfId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4" fillId="0" borderId="32" xfId="0" applyFont="1" applyBorder="1"/>
    <xf numFmtId="9" fontId="0" fillId="0" borderId="13" xfId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9" fontId="8" fillId="0" borderId="13" xfId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5" fontId="0" fillId="0" borderId="20" xfId="0" applyNumberFormat="1" applyBorder="1" applyAlignment="1">
      <alignment horizontal="center"/>
    </xf>
    <xf numFmtId="5" fontId="14" fillId="0" borderId="20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9" fontId="12" fillId="0" borderId="0" xfId="1" applyFont="1" applyBorder="1" applyAlignment="1">
      <alignment horizontal="center"/>
    </xf>
    <xf numFmtId="9" fontId="6" fillId="0" borderId="33" xfId="0" applyNumberFormat="1" applyFont="1" applyBorder="1" applyAlignment="1">
      <alignment horizontal="center"/>
    </xf>
    <xf numFmtId="9" fontId="12" fillId="0" borderId="33" xfId="1" applyFont="1" applyBorder="1" applyAlignment="1">
      <alignment horizontal="center"/>
    </xf>
    <xf numFmtId="9" fontId="13" fillId="0" borderId="33" xfId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9" fontId="13" fillId="0" borderId="0" xfId="1" applyFont="1" applyBorder="1" applyAlignment="1">
      <alignment horizontal="center"/>
    </xf>
    <xf numFmtId="9" fontId="13" fillId="0" borderId="0" xfId="1" applyFont="1" applyBorder="1"/>
    <xf numFmtId="10" fontId="2" fillId="0" borderId="16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3" xfId="0" applyFont="1" applyBorder="1" applyAlignment="1">
      <alignment horizontal="center"/>
    </xf>
    <xf numFmtId="10" fontId="8" fillId="0" borderId="33" xfId="1" applyNumberFormat="1" applyFont="1" applyBorder="1" applyAlignment="1">
      <alignment horizontal="center"/>
    </xf>
    <xf numFmtId="9" fontId="5" fillId="0" borderId="22" xfId="1" applyFont="1" applyFill="1" applyBorder="1" applyAlignment="1">
      <alignment horizontal="center"/>
    </xf>
    <xf numFmtId="10" fontId="0" fillId="0" borderId="25" xfId="1" applyNumberFormat="1" applyFont="1" applyBorder="1" applyAlignment="1">
      <alignment horizontal="center"/>
    </xf>
    <xf numFmtId="9" fontId="4" fillId="0" borderId="35" xfId="1" applyFont="1" applyBorder="1" applyAlignment="1">
      <alignment horizontal="center"/>
    </xf>
    <xf numFmtId="9" fontId="0" fillId="0" borderId="32" xfId="1" applyFont="1" applyBorder="1" applyAlignment="1">
      <alignment horizontal="center"/>
    </xf>
    <xf numFmtId="165" fontId="5" fillId="2" borderId="35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5" fontId="0" fillId="0" borderId="10" xfId="0" applyNumberFormat="1" applyBorder="1"/>
    <xf numFmtId="0" fontId="0" fillId="0" borderId="19" xfId="0" applyBorder="1"/>
    <xf numFmtId="0" fontId="0" fillId="0" borderId="20" xfId="0" applyBorder="1" applyAlignment="1">
      <alignment horizontal="center"/>
    </xf>
    <xf numFmtId="9" fontId="5" fillId="0" borderId="16" xfId="1" applyFont="1" applyFill="1" applyBorder="1" applyAlignment="1">
      <alignment horizontal="center"/>
    </xf>
    <xf numFmtId="9" fontId="0" fillId="0" borderId="16" xfId="1" applyFont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4" fillId="0" borderId="36" xfId="0" quotePrefix="1" applyFont="1" applyBorder="1" applyAlignment="1">
      <alignment horizontal="center"/>
    </xf>
    <xf numFmtId="0" fontId="14" fillId="0" borderId="35" xfId="0" applyFont="1" applyBorder="1"/>
    <xf numFmtId="0" fontId="0" fillId="0" borderId="10" xfId="0" applyBorder="1"/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33" xfId="1" applyNumberFormat="1" applyFont="1" applyBorder="1" applyAlignment="1">
      <alignment horizontal="center"/>
    </xf>
    <xf numFmtId="10" fontId="5" fillId="3" borderId="33" xfId="1" applyNumberFormat="1" applyFont="1" applyFill="1" applyBorder="1" applyAlignment="1">
      <alignment horizontal="center"/>
    </xf>
    <xf numFmtId="10" fontId="5" fillId="3" borderId="3" xfId="1" applyNumberFormat="1" applyFont="1" applyFill="1" applyBorder="1" applyAlignment="1">
      <alignment horizontal="center"/>
    </xf>
    <xf numFmtId="10" fontId="2" fillId="3" borderId="34" xfId="1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9" fontId="0" fillId="3" borderId="33" xfId="0" quotePrefix="1" applyNumberFormat="1" applyFill="1" applyBorder="1"/>
    <xf numFmtId="9" fontId="3" fillId="3" borderId="3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9" fontId="5" fillId="2" borderId="3" xfId="1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168" fontId="0" fillId="0" borderId="13" xfId="0" applyNumberFormat="1" applyBorder="1" applyAlignment="1">
      <alignment horizontal="center" readingOrder="2"/>
    </xf>
    <xf numFmtId="0" fontId="4" fillId="0" borderId="13" xfId="0" quotePrefix="1" applyFont="1" applyBorder="1" applyAlignment="1">
      <alignment horizontal="center"/>
    </xf>
    <xf numFmtId="0" fontId="0" fillId="4" borderId="12" xfId="0" applyFill="1" applyBorder="1" applyAlignment="1">
      <alignment horizontal="center"/>
    </xf>
    <xf numFmtId="167" fontId="0" fillId="4" borderId="20" xfId="0" applyNumberFormat="1" applyFill="1" applyBorder="1" applyAlignment="1">
      <alignment horizontal="center" readingOrder="2"/>
    </xf>
    <xf numFmtId="0" fontId="0" fillId="0" borderId="9" xfId="0" applyBorder="1" applyAlignment="1">
      <alignment horizontal="right"/>
    </xf>
    <xf numFmtId="9" fontId="6" fillId="0" borderId="12" xfId="0" applyNumberFormat="1" applyFont="1" applyBorder="1" applyAlignment="1">
      <alignment horizontal="center"/>
    </xf>
    <xf numFmtId="9" fontId="12" fillId="0" borderId="18" xfId="1" applyFont="1" applyBorder="1" applyAlignment="1">
      <alignment horizontal="center"/>
    </xf>
    <xf numFmtId="0" fontId="0" fillId="0" borderId="18" xfId="0" applyBorder="1"/>
    <xf numFmtId="9" fontId="12" fillId="0" borderId="12" xfId="1" applyFont="1" applyBorder="1" applyAlignment="1">
      <alignment horizontal="center"/>
    </xf>
    <xf numFmtId="9" fontId="13" fillId="0" borderId="12" xfId="1" applyFont="1" applyBorder="1" applyAlignment="1">
      <alignment horizontal="center"/>
    </xf>
    <xf numFmtId="10" fontId="15" fillId="0" borderId="33" xfId="1" applyNumberFormat="1" applyFont="1" applyFill="1" applyBorder="1" applyAlignment="1">
      <alignment horizontal="center"/>
    </xf>
    <xf numFmtId="10" fontId="15" fillId="0" borderId="3" xfId="1" applyNumberFormat="1" applyFont="1" applyFill="1" applyBorder="1" applyAlignment="1">
      <alignment horizontal="center"/>
    </xf>
    <xf numFmtId="10" fontId="0" fillId="0" borderId="34" xfId="1" applyNumberFormat="1" applyFont="1" applyFill="1" applyBorder="1" applyAlignment="1">
      <alignment horizontal="center"/>
    </xf>
    <xf numFmtId="9" fontId="9" fillId="2" borderId="3" xfId="1" applyFont="1" applyFill="1" applyBorder="1" applyAlignment="1">
      <alignment horizontal="center"/>
    </xf>
    <xf numFmtId="166" fontId="0" fillId="0" borderId="20" xfId="0" applyNumberFormat="1" applyBorder="1" applyAlignment="1">
      <alignment horizontal="center" readingOrder="2"/>
    </xf>
    <xf numFmtId="0" fontId="4" fillId="0" borderId="11" xfId="0" applyFont="1" applyBorder="1" applyAlignment="1">
      <alignment horizontal="center" readingOrder="2"/>
    </xf>
    <xf numFmtId="9" fontId="5" fillId="0" borderId="31" xfId="1" applyFont="1" applyFill="1" applyBorder="1" applyAlignment="1">
      <alignment horizontal="center"/>
    </xf>
    <xf numFmtId="0" fontId="0" fillId="0" borderId="11" xfId="0" quotePrefix="1" applyBorder="1" applyAlignment="1">
      <alignment horizontal="center"/>
    </xf>
    <xf numFmtId="9" fontId="16" fillId="0" borderId="8" xfId="0" applyNumberFormat="1" applyFont="1" applyBorder="1" applyAlignment="1">
      <alignment horizontal="center"/>
    </xf>
    <xf numFmtId="169" fontId="0" fillId="0" borderId="8" xfId="0" applyNumberFormat="1" applyBorder="1" applyAlignment="1">
      <alignment horizontal="center" readingOrder="2"/>
    </xf>
    <xf numFmtId="0" fontId="4" fillId="0" borderId="9" xfId="0" applyFont="1" applyBorder="1" applyAlignment="1">
      <alignment horizontal="left" readingOrder="2"/>
    </xf>
    <xf numFmtId="165" fontId="0" fillId="0" borderId="20" xfId="1" applyNumberFormat="1" applyFont="1" applyFill="1" applyBorder="1" applyAlignment="1">
      <alignment horizontal="center"/>
    </xf>
    <xf numFmtId="10" fontId="0" fillId="0" borderId="20" xfId="1" applyNumberFormat="1" applyFont="1" applyFill="1" applyBorder="1" applyAlignment="1">
      <alignment horizontal="center"/>
    </xf>
    <xf numFmtId="165" fontId="0" fillId="0" borderId="21" xfId="1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9" fontId="13" fillId="0" borderId="24" xfId="1" applyFont="1" applyBorder="1" applyAlignment="1">
      <alignment horizontal="center"/>
    </xf>
    <xf numFmtId="9" fontId="13" fillId="0" borderId="32" xfId="1" applyFont="1" applyBorder="1" applyAlignment="1">
      <alignment horizontal="center"/>
    </xf>
    <xf numFmtId="165" fontId="0" fillId="0" borderId="0" xfId="0" applyNumberFormat="1"/>
    <xf numFmtId="0" fontId="0" fillId="0" borderId="12" xfId="0" applyBorder="1" applyAlignment="1">
      <alignment readingOrder="2"/>
    </xf>
    <xf numFmtId="9" fontId="12" fillId="0" borderId="20" xfId="1" applyFont="1" applyBorder="1" applyAlignment="1">
      <alignment horizontal="center"/>
    </xf>
    <xf numFmtId="9" fontId="12" fillId="0" borderId="31" xfId="1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33" xfId="0" applyBorder="1" applyAlignment="1">
      <alignment horizontal="right"/>
    </xf>
    <xf numFmtId="9" fontId="16" fillId="0" borderId="33" xfId="0" applyNumberFormat="1" applyFont="1" applyBorder="1" applyAlignment="1">
      <alignment horizontal="center"/>
    </xf>
    <xf numFmtId="9" fontId="12" fillId="0" borderId="38" xfId="1" applyFont="1" applyBorder="1" applyAlignment="1">
      <alignment horizontal="center"/>
    </xf>
    <xf numFmtId="9" fontId="12" fillId="0" borderId="34" xfId="1" applyFont="1" applyBorder="1" applyAlignment="1">
      <alignment horizontal="center"/>
    </xf>
    <xf numFmtId="9" fontId="8" fillId="0" borderId="0" xfId="1" applyFont="1" applyFill="1"/>
    <xf numFmtId="170" fontId="0" fillId="0" borderId="4" xfId="0" applyNumberFormat="1" applyBorder="1" applyAlignment="1">
      <alignment horizontal="center"/>
    </xf>
    <xf numFmtId="170" fontId="0" fillId="0" borderId="12" xfId="0" applyNumberFormat="1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9" fontId="16" fillId="0" borderId="38" xfId="0" applyNumberFormat="1" applyFont="1" applyBorder="1" applyAlignment="1">
      <alignment horizontal="center"/>
    </xf>
    <xf numFmtId="10" fontId="17" fillId="0" borderId="33" xfId="1" applyNumberFormat="1" applyFont="1" applyFill="1" applyBorder="1" applyAlignment="1">
      <alignment horizontal="center"/>
    </xf>
    <xf numFmtId="10" fontId="17" fillId="0" borderId="34" xfId="1" applyNumberFormat="1" applyFont="1" applyFill="1" applyBorder="1" applyAlignment="1">
      <alignment horizontal="center"/>
    </xf>
    <xf numFmtId="9" fontId="18" fillId="0" borderId="20" xfId="1" applyFont="1" applyFill="1" applyBorder="1" applyAlignment="1">
      <alignment horizontal="center"/>
    </xf>
    <xf numFmtId="9" fontId="18" fillId="0" borderId="29" xfId="1" applyFont="1" applyBorder="1" applyAlignment="1">
      <alignment horizontal="center"/>
    </xf>
    <xf numFmtId="9" fontId="18" fillId="0" borderId="31" xfId="1" applyFont="1" applyFill="1" applyBorder="1" applyAlignment="1">
      <alignment horizontal="center"/>
    </xf>
    <xf numFmtId="9" fontId="18" fillId="0" borderId="32" xfId="1" applyFont="1" applyBorder="1" applyAlignment="1">
      <alignment horizontal="center"/>
    </xf>
    <xf numFmtId="9" fontId="12" fillId="0" borderId="38" xfId="1" applyFont="1" applyFill="1" applyBorder="1" applyAlignment="1">
      <alignment horizontal="center"/>
    </xf>
    <xf numFmtId="9" fontId="0" fillId="0" borderId="0" xfId="1" applyFont="1" applyBorder="1" applyAlignment="1">
      <alignment horizontal="center" readingOrder="2"/>
    </xf>
    <xf numFmtId="10" fontId="0" fillId="0" borderId="0" xfId="1" applyNumberFormat="1" applyFont="1" applyBorder="1"/>
    <xf numFmtId="10" fontId="0" fillId="0" borderId="0" xfId="1" applyNumberFormat="1" applyFont="1"/>
    <xf numFmtId="9" fontId="0" fillId="0" borderId="1" xfId="0" applyNumberFormat="1" applyBorder="1"/>
    <xf numFmtId="0" fontId="11" fillId="0" borderId="3" xfId="0" applyFont="1" applyBorder="1" applyAlignment="1">
      <alignment horizontal="right" readingOrder="2"/>
    </xf>
    <xf numFmtId="5" fontId="0" fillId="0" borderId="5" xfId="0" applyNumberFormat="1" applyBorder="1"/>
    <xf numFmtId="5" fontId="3" fillId="0" borderId="8" xfId="0" applyNumberFormat="1" applyFont="1" applyBorder="1"/>
    <xf numFmtId="9" fontId="6" fillId="0" borderId="8" xfId="0" applyNumberFormat="1" applyFont="1" applyBorder="1" applyAlignment="1">
      <alignment horizontal="center" readingOrder="2"/>
    </xf>
    <xf numFmtId="9" fontId="5" fillId="3" borderId="2" xfId="1" applyFont="1" applyFill="1" applyBorder="1" applyAlignment="1">
      <alignment horizontal="center"/>
    </xf>
    <xf numFmtId="165" fontId="5" fillId="3" borderId="2" xfId="1" applyNumberFormat="1" applyFont="1" applyFill="1" applyBorder="1" applyAlignment="1">
      <alignment horizontal="center"/>
    </xf>
    <xf numFmtId="9" fontId="5" fillId="0" borderId="13" xfId="1" applyFont="1" applyFill="1" applyBorder="1" applyAlignment="1">
      <alignment horizontal="center"/>
    </xf>
    <xf numFmtId="9" fontId="5" fillId="0" borderId="17" xfId="1" applyFont="1" applyFill="1" applyBorder="1" applyAlignment="1">
      <alignment horizontal="center"/>
    </xf>
    <xf numFmtId="0" fontId="0" fillId="0" borderId="0" xfId="0" applyFill="1"/>
    <xf numFmtId="9" fontId="6" fillId="0" borderId="32" xfId="0" applyNumberFormat="1" applyFont="1" applyBorder="1" applyAlignment="1">
      <alignment horizontal="center" readingOrder="2"/>
    </xf>
    <xf numFmtId="0" fontId="0" fillId="0" borderId="19" xfId="0" applyFill="1" applyBorder="1" applyAlignment="1">
      <alignment horizontal="center"/>
    </xf>
    <xf numFmtId="5" fontId="0" fillId="3" borderId="2" xfId="0" applyNumberFormat="1" applyFill="1" applyBorder="1"/>
    <xf numFmtId="0" fontId="11" fillId="3" borderId="18" xfId="0" applyFont="1" applyFill="1" applyBorder="1"/>
    <xf numFmtId="0" fontId="0" fillId="3" borderId="20" xfId="0" applyFill="1" applyBorder="1"/>
    <xf numFmtId="9" fontId="5" fillId="3" borderId="20" xfId="1" applyFont="1" applyFill="1" applyBorder="1" applyAlignment="1">
      <alignment horizontal="center"/>
    </xf>
    <xf numFmtId="9" fontId="6" fillId="0" borderId="20" xfId="0" applyNumberFormat="1" applyFont="1" applyFill="1" applyBorder="1" applyAlignment="1">
      <alignment horizontal="center"/>
    </xf>
    <xf numFmtId="0" fontId="11" fillId="0" borderId="3" xfId="0" applyFont="1" applyFill="1" applyBorder="1"/>
    <xf numFmtId="10" fontId="0" fillId="5" borderId="25" xfId="1" applyNumberFormat="1" applyFont="1" applyFill="1" applyBorder="1" applyAlignment="1">
      <alignment horizontal="center"/>
    </xf>
    <xf numFmtId="5" fontId="0" fillId="0" borderId="36" xfId="0" applyNumberFormat="1" applyFill="1" applyBorder="1"/>
    <xf numFmtId="5" fontId="0" fillId="0" borderId="20" xfId="0" applyNumberFormat="1" applyFill="1" applyBorder="1" applyAlignment="1">
      <alignment horizontal="center"/>
    </xf>
    <xf numFmtId="5" fontId="0" fillId="0" borderId="2" xfId="0" applyNumberFormat="1" applyFill="1" applyBorder="1"/>
    <xf numFmtId="5" fontId="14" fillId="0" borderId="20" xfId="0" applyNumberFormat="1" applyFont="1" applyFill="1" applyBorder="1" applyAlignment="1">
      <alignment horizontal="center"/>
    </xf>
    <xf numFmtId="5" fontId="3" fillId="0" borderId="2" xfId="0" applyNumberFormat="1" applyFont="1" applyFill="1" applyBorder="1"/>
    <xf numFmtId="0" fontId="0" fillId="0" borderId="31" xfId="0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9" fontId="5" fillId="0" borderId="2" xfId="1" applyFont="1" applyFill="1" applyBorder="1" applyAlignment="1">
      <alignment horizontal="center"/>
    </xf>
    <xf numFmtId="165" fontId="5" fillId="0" borderId="2" xfId="1" applyNumberFormat="1" applyFont="1" applyFill="1" applyBorder="1" applyAlignment="1">
      <alignment horizontal="center"/>
    </xf>
    <xf numFmtId="9" fontId="5" fillId="0" borderId="2" xfId="1" applyNumberFormat="1" applyFont="1" applyFill="1" applyBorder="1" applyAlignment="1">
      <alignment horizontal="center"/>
    </xf>
    <xf numFmtId="9" fontId="5" fillId="0" borderId="39" xfId="1" applyFont="1" applyFill="1" applyBorder="1" applyAlignment="1">
      <alignment horizontal="center"/>
    </xf>
    <xf numFmtId="5" fontId="0" fillId="0" borderId="11" xfId="0" applyNumberFormat="1" applyFill="1" applyBorder="1"/>
    <xf numFmtId="5" fontId="0" fillId="0" borderId="8" xfId="0" applyNumberFormat="1" applyFill="1" applyBorder="1"/>
    <xf numFmtId="9" fontId="5" fillId="0" borderId="8" xfId="1" applyFont="1" applyFill="1" applyBorder="1" applyAlignment="1">
      <alignment horizontal="center"/>
    </xf>
    <xf numFmtId="165" fontId="5" fillId="0" borderId="8" xfId="1" applyNumberFormat="1" applyFont="1" applyFill="1" applyBorder="1" applyAlignment="1">
      <alignment horizontal="center"/>
    </xf>
    <xf numFmtId="9" fontId="5" fillId="0" borderId="27" xfId="1" applyFont="1" applyFill="1" applyBorder="1" applyAlignment="1">
      <alignment horizontal="center"/>
    </xf>
    <xf numFmtId="9" fontId="3" fillId="3" borderId="0" xfId="1" applyFont="1" applyFill="1" applyAlignment="1">
      <alignment horizontal="center"/>
    </xf>
    <xf numFmtId="9" fontId="0" fillId="3" borderId="0" xfId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9" fontId="6" fillId="5" borderId="0" xfId="0" applyNumberFormat="1" applyFont="1" applyFill="1" applyAlignment="1">
      <alignment horizontal="center"/>
    </xf>
    <xf numFmtId="10" fontId="0" fillId="5" borderId="0" xfId="1" applyNumberFormat="1" applyFont="1" applyFill="1" applyBorder="1" applyAlignment="1">
      <alignment horizontal="center"/>
    </xf>
    <xf numFmtId="0" fontId="11" fillId="3" borderId="3" xfId="0" applyFont="1" applyFill="1" applyBorder="1"/>
    <xf numFmtId="9" fontId="6" fillId="0" borderId="0" xfId="0" applyNumberFormat="1" applyFont="1" applyFill="1" applyBorder="1" applyAlignment="1">
      <alignment horizontal="center"/>
    </xf>
    <xf numFmtId="9" fontId="5" fillId="3" borderId="0" xfId="1" applyFont="1" applyFill="1" applyBorder="1" applyAlignment="1">
      <alignment horizontal="center"/>
    </xf>
    <xf numFmtId="0" fontId="11" fillId="5" borderId="6" xfId="0" applyFont="1" applyFill="1" applyBorder="1"/>
    <xf numFmtId="0" fontId="11" fillId="0" borderId="0" xfId="0" applyFont="1" applyFill="1" applyBorder="1"/>
    <xf numFmtId="0" fontId="0" fillId="3" borderId="2" xfId="0" applyFill="1" applyBorder="1" applyAlignment="1">
      <alignment readingOrder="2"/>
    </xf>
    <xf numFmtId="9" fontId="0" fillId="3" borderId="2" xfId="0" applyNumberFormat="1" applyFill="1" applyBorder="1" applyAlignment="1">
      <alignment horizontal="center"/>
    </xf>
    <xf numFmtId="9" fontId="19" fillId="3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readingOrder="2"/>
    </xf>
    <xf numFmtId="9" fontId="0" fillId="0" borderId="0" xfId="0" applyNumberForma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1" fillId="5" borderId="18" xfId="0" applyFont="1" applyFill="1" applyBorder="1" applyAlignment="1">
      <alignment horizontal="right"/>
    </xf>
    <xf numFmtId="9" fontId="0" fillId="0" borderId="0" xfId="1" applyFont="1" applyFill="1" applyBorder="1" applyAlignment="1">
      <alignment horizontal="center"/>
    </xf>
    <xf numFmtId="0" fontId="11" fillId="0" borderId="6" xfId="0" applyFont="1" applyBorder="1" applyAlignment="1">
      <alignment horizontal="right" readingOrder="2"/>
    </xf>
    <xf numFmtId="5" fontId="3" fillId="0" borderId="13" xfId="0" applyNumberFormat="1" applyFont="1" applyBorder="1" applyAlignment="1">
      <alignment horizontal="center"/>
    </xf>
    <xf numFmtId="168" fontId="0" fillId="3" borderId="13" xfId="0" applyNumberFormat="1" applyFill="1" applyBorder="1" applyAlignment="1">
      <alignment horizontal="center" readingOrder="2"/>
    </xf>
    <xf numFmtId="0" fontId="0" fillId="3" borderId="19" xfId="0" applyFill="1" applyBorder="1"/>
    <xf numFmtId="0" fontId="11" fillId="3" borderId="6" xfId="0" applyFont="1" applyFill="1" applyBorder="1"/>
    <xf numFmtId="0" fontId="3" fillId="0" borderId="21" xfId="0" applyFont="1" applyBorder="1" applyAlignment="1">
      <alignment horizontal="center"/>
    </xf>
    <xf numFmtId="10" fontId="0" fillId="5" borderId="3" xfId="1" applyNumberFormat="1" applyFont="1" applyFill="1" applyBorder="1" applyAlignment="1">
      <alignment horizontal="center"/>
    </xf>
    <xf numFmtId="9" fontId="5" fillId="3" borderId="18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5" borderId="13" xfId="0" applyFill="1" applyBorder="1" applyAlignment="1">
      <alignment horizontal="center" readingOrder="2"/>
    </xf>
    <xf numFmtId="9" fontId="0" fillId="5" borderId="13" xfId="0" applyNumberFormat="1" applyFill="1" applyBorder="1" applyAlignment="1">
      <alignment horizontal="center"/>
    </xf>
    <xf numFmtId="9" fontId="19" fillId="5" borderId="13" xfId="0" applyNumberFormat="1" applyFont="1" applyFill="1" applyBorder="1" applyAlignment="1">
      <alignment horizontal="center"/>
    </xf>
    <xf numFmtId="9" fontId="0" fillId="5" borderId="13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0" fontId="0" fillId="5" borderId="2" xfId="1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5" borderId="6" xfId="0" applyFill="1" applyBorder="1"/>
    <xf numFmtId="0" fontId="11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7" fillId="0" borderId="0" xfId="0" applyFont="1" applyFill="1" applyAlignment="1">
      <alignment horizontal="center"/>
    </xf>
    <xf numFmtId="9" fontId="3" fillId="0" borderId="0" xfId="1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10" fontId="8" fillId="0" borderId="0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5" borderId="8" xfId="0" quotePrefix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9" fontId="6" fillId="0" borderId="8" xfId="0" applyNumberFormat="1" applyFont="1" applyBorder="1" applyAlignment="1">
      <alignment horizontal="center"/>
    </xf>
    <xf numFmtId="9" fontId="0" fillId="5" borderId="8" xfId="1" applyFont="1" applyFill="1" applyBorder="1" applyAlignment="1">
      <alignment horizontal="center"/>
    </xf>
    <xf numFmtId="10" fontId="0" fillId="5" borderId="8" xfId="1" applyNumberFormat="1" applyFont="1" applyFill="1" applyBorder="1" applyAlignment="1">
      <alignment horizontal="center"/>
    </xf>
    <xf numFmtId="0" fontId="11" fillId="0" borderId="0" xfId="0" applyFont="1" applyBorder="1"/>
    <xf numFmtId="0" fontId="11" fillId="0" borderId="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9" fontId="4" fillId="0" borderId="43" xfId="1" quotePrefix="1" applyFont="1" applyBorder="1" applyAlignment="1">
      <alignment horizontal="center" readingOrder="2"/>
    </xf>
    <xf numFmtId="0" fontId="0" fillId="4" borderId="42" xfId="0" applyFill="1" applyBorder="1" applyAlignment="1">
      <alignment horizontal="center"/>
    </xf>
    <xf numFmtId="9" fontId="0" fillId="0" borderId="43" xfId="0" applyNumberFormat="1" applyBorder="1" applyAlignment="1">
      <alignment horizontal="center"/>
    </xf>
    <xf numFmtId="167" fontId="0" fillId="0" borderId="42" xfId="0" applyNumberFormat="1" applyFill="1" applyBorder="1" applyAlignment="1">
      <alignment horizontal="center" readingOrder="2"/>
    </xf>
    <xf numFmtId="168" fontId="0" fillId="0" borderId="43" xfId="0" applyNumberFormat="1" applyBorder="1" applyAlignment="1">
      <alignment horizontal="center" readingOrder="2"/>
    </xf>
    <xf numFmtId="165" fontId="0" fillId="0" borderId="43" xfId="1" applyNumberFormat="1" applyFont="1" applyBorder="1" applyAlignment="1">
      <alignment horizontal="center"/>
    </xf>
    <xf numFmtId="0" fontId="0" fillId="0" borderId="42" xfId="0" applyNumberForma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9" fontId="0" fillId="3" borderId="8" xfId="1" applyFont="1" applyFill="1" applyBorder="1" applyAlignment="1">
      <alignment horizontal="center"/>
    </xf>
    <xf numFmtId="10" fontId="9" fillId="3" borderId="3" xfId="1" applyNumberFormat="1" applyFont="1" applyFill="1" applyBorder="1" applyAlignment="1">
      <alignment horizontal="center"/>
    </xf>
    <xf numFmtId="9" fontId="9" fillId="0" borderId="3" xfId="1" applyFont="1" applyFill="1" applyBorder="1" applyAlignment="1">
      <alignment horizontal="center"/>
    </xf>
    <xf numFmtId="9" fontId="5" fillId="0" borderId="3" xfId="1" applyFont="1" applyFill="1" applyBorder="1" applyAlignment="1">
      <alignment horizontal="center"/>
    </xf>
    <xf numFmtId="9" fontId="0" fillId="3" borderId="3" xfId="1" applyFont="1" applyFill="1" applyBorder="1" applyAlignment="1">
      <alignment horizontal="center"/>
    </xf>
    <xf numFmtId="174" fontId="14" fillId="0" borderId="43" xfId="1" applyNumberFormat="1" applyFont="1" applyBorder="1" applyAlignment="1">
      <alignment horizontal="center"/>
    </xf>
    <xf numFmtId="165" fontId="0" fillId="3" borderId="8" xfId="1" applyNumberFormat="1" applyFont="1" applyFill="1" applyBorder="1" applyAlignment="1">
      <alignment horizontal="center"/>
    </xf>
    <xf numFmtId="165" fontId="0" fillId="3" borderId="3" xfId="1" applyNumberFormat="1" applyFont="1" applyFill="1" applyBorder="1" applyAlignment="1">
      <alignment horizontal="center"/>
    </xf>
    <xf numFmtId="10" fontId="23" fillId="5" borderId="13" xfId="1" applyNumberFormat="1" applyFont="1" applyFill="1" applyBorder="1" applyAlignment="1">
      <alignment horizontal="center"/>
    </xf>
    <xf numFmtId="10" fontId="23" fillId="5" borderId="6" xfId="1" applyNumberFormat="1" applyFont="1" applyFill="1" applyBorder="1" applyAlignment="1">
      <alignment horizontal="center"/>
    </xf>
    <xf numFmtId="10" fontId="23" fillId="5" borderId="17" xfId="1" applyNumberFormat="1" applyFont="1" applyFill="1" applyBorder="1" applyAlignment="1">
      <alignment horizontal="center"/>
    </xf>
    <xf numFmtId="10" fontId="23" fillId="5" borderId="0" xfId="1" applyNumberFormat="1" applyFont="1" applyFill="1" applyBorder="1" applyAlignment="1">
      <alignment horizontal="center"/>
    </xf>
    <xf numFmtId="10" fontId="23" fillId="5" borderId="3" xfId="1" applyNumberFormat="1" applyFont="1" applyFill="1" applyBorder="1" applyAlignment="1">
      <alignment horizontal="center"/>
    </xf>
    <xf numFmtId="0" fontId="0" fillId="0" borderId="44" xfId="0" applyNumberFormat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165" fontId="0" fillId="0" borderId="45" xfId="1" applyNumberFormat="1" applyFont="1" applyBorder="1" applyAlignment="1">
      <alignment horizontal="center"/>
    </xf>
    <xf numFmtId="165" fontId="0" fillId="0" borderId="32" xfId="1" applyNumberFormat="1" applyFont="1" applyBorder="1" applyAlignment="1">
      <alignment horizontal="center"/>
    </xf>
    <xf numFmtId="0" fontId="11" fillId="0" borderId="23" xfId="0" applyFont="1" applyFill="1" applyBorder="1"/>
    <xf numFmtId="0" fontId="0" fillId="0" borderId="0" xfId="0" applyFill="1" applyBorder="1" applyAlignment="1">
      <alignment horizontal="center" readingOrder="2"/>
    </xf>
    <xf numFmtId="10" fontId="0" fillId="0" borderId="12" xfId="1" applyNumberFormat="1" applyFont="1" applyFill="1" applyBorder="1" applyAlignment="1">
      <alignment horizontal="center"/>
    </xf>
    <xf numFmtId="10" fontId="23" fillId="0" borderId="0" xfId="1" applyNumberFormat="1" applyFont="1" applyFill="1" applyBorder="1" applyAlignment="1">
      <alignment horizontal="center"/>
    </xf>
    <xf numFmtId="10" fontId="23" fillId="0" borderId="18" xfId="1" applyNumberFormat="1" applyFont="1" applyFill="1" applyBorder="1" applyAlignment="1">
      <alignment horizontal="center"/>
    </xf>
    <xf numFmtId="10" fontId="5" fillId="0" borderId="8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Fill="1" applyBorder="1" applyAlignment="1">
      <alignment horizontal="center"/>
    </xf>
    <xf numFmtId="9" fontId="5" fillId="0" borderId="28" xfId="1" applyFont="1" applyFill="1" applyBorder="1" applyAlignment="1">
      <alignment horizontal="center"/>
    </xf>
    <xf numFmtId="165" fontId="5" fillId="3" borderId="20" xfId="1" applyNumberFormat="1" applyFont="1" applyFill="1" applyBorder="1" applyAlignment="1">
      <alignment horizontal="center"/>
    </xf>
    <xf numFmtId="9" fontId="0" fillId="5" borderId="3" xfId="1" applyFont="1" applyFill="1" applyBorder="1" applyAlignment="1">
      <alignment horizontal="center"/>
    </xf>
    <xf numFmtId="165" fontId="5" fillId="3" borderId="3" xfId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right"/>
    </xf>
    <xf numFmtId="178" fontId="14" fillId="0" borderId="43" xfId="0" applyNumberFormat="1" applyFont="1" applyBorder="1" applyAlignment="1">
      <alignment horizontal="center" readingOrder="2"/>
    </xf>
    <xf numFmtId="179" fontId="14" fillId="0" borderId="42" xfId="0" applyNumberFormat="1" applyFont="1" applyFill="1" applyBorder="1" applyAlignment="1">
      <alignment horizontal="right" readingOrder="2"/>
    </xf>
    <xf numFmtId="9" fontId="0" fillId="3" borderId="0" xfId="0" applyNumberFormat="1" applyFill="1" applyAlignment="1">
      <alignment horizontal="center"/>
    </xf>
    <xf numFmtId="0" fontId="0" fillId="0" borderId="22" xfId="0" applyNumberFormat="1" applyBorder="1" applyAlignment="1">
      <alignment horizontal="center"/>
    </xf>
    <xf numFmtId="165" fontId="0" fillId="0" borderId="25" xfId="1" applyNumberFormat="1" applyFont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9" fillId="0" borderId="3" xfId="1" applyNumberFormat="1" applyFont="1" applyFill="1" applyBorder="1" applyAlignment="1">
      <alignment horizontal="center"/>
    </xf>
    <xf numFmtId="0" fontId="0" fillId="0" borderId="3" xfId="0" applyFill="1" applyBorder="1"/>
    <xf numFmtId="0" fontId="11" fillId="0" borderId="6" xfId="0" applyFont="1" applyFill="1" applyBorder="1"/>
    <xf numFmtId="0" fontId="11" fillId="0" borderId="23" xfId="0" applyFont="1" applyBorder="1"/>
    <xf numFmtId="0" fontId="24" fillId="0" borderId="23" xfId="0" applyFont="1" applyBorder="1"/>
    <xf numFmtId="181" fontId="0" fillId="0" borderId="6" xfId="0" applyNumberFormat="1" applyBorder="1"/>
    <xf numFmtId="0" fontId="11" fillId="3" borderId="15" xfId="0" applyFont="1" applyFill="1" applyBorder="1"/>
    <xf numFmtId="0" fontId="11" fillId="3" borderId="17" xfId="0" applyFont="1" applyFill="1" applyBorder="1"/>
    <xf numFmtId="0" fontId="11" fillId="5" borderId="15" xfId="0" applyFont="1" applyFill="1" applyBorder="1" applyAlignment="1">
      <alignment horizontal="right"/>
    </xf>
    <xf numFmtId="0" fontId="0" fillId="5" borderId="17" xfId="0" applyFill="1" applyBorder="1"/>
    <xf numFmtId="0" fontId="0" fillId="0" borderId="23" xfId="0" applyBorder="1"/>
    <xf numFmtId="0" fontId="11" fillId="0" borderId="15" xfId="0" applyFont="1" applyBorder="1"/>
    <xf numFmtId="0" fontId="11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right"/>
    </xf>
    <xf numFmtId="0" fontId="0" fillId="0" borderId="17" xfId="0" applyBorder="1"/>
    <xf numFmtId="0" fontId="11" fillId="0" borderId="34" xfId="0" applyFont="1" applyBorder="1" applyAlignment="1">
      <alignment horizontal="right" readingOrder="2"/>
    </xf>
    <xf numFmtId="0" fontId="11" fillId="0" borderId="17" xfId="0" applyFont="1" applyBorder="1" applyAlignment="1">
      <alignment horizontal="right" readingOrder="2"/>
    </xf>
    <xf numFmtId="0" fontId="0" fillId="0" borderId="23" xfId="0" applyBorder="1" applyAlignment="1">
      <alignment horizontal="center"/>
    </xf>
    <xf numFmtId="178" fontId="14" fillId="0" borderId="23" xfId="0" applyNumberFormat="1" applyFont="1" applyBorder="1" applyAlignment="1">
      <alignment horizontal="center" readingOrder="2"/>
    </xf>
    <xf numFmtId="179" fontId="14" fillId="0" borderId="6" xfId="0" applyNumberFormat="1" applyFont="1" applyFill="1" applyBorder="1" applyAlignment="1">
      <alignment horizontal="right" readingOrder="2"/>
    </xf>
    <xf numFmtId="0" fontId="0" fillId="3" borderId="0" xfId="0" applyFill="1" applyAlignment="1">
      <alignment horizontal="center"/>
    </xf>
    <xf numFmtId="3" fontId="0" fillId="0" borderId="0" xfId="0" applyNumberFormat="1" applyFill="1"/>
    <xf numFmtId="9" fontId="6" fillId="0" borderId="13" xfId="0" applyNumberFormat="1" applyFont="1" applyFill="1" applyBorder="1" applyAlignment="1">
      <alignment horizontal="center"/>
    </xf>
    <xf numFmtId="0" fontId="0" fillId="3" borderId="22" xfId="0" applyFill="1" applyBorder="1"/>
    <xf numFmtId="0" fontId="11" fillId="3" borderId="20" xfId="0" applyFont="1" applyFill="1" applyBorder="1" applyAlignment="1">
      <alignment horizontal="center"/>
    </xf>
    <xf numFmtId="0" fontId="0" fillId="0" borderId="20" xfId="0" applyFill="1" applyBorder="1"/>
    <xf numFmtId="3" fontId="0" fillId="3" borderId="20" xfId="0" applyNumberFormat="1" applyFill="1" applyBorder="1"/>
    <xf numFmtId="3" fontId="0" fillId="5" borderId="13" xfId="0" applyNumberFormat="1" applyFill="1" applyBorder="1"/>
    <xf numFmtId="0" fontId="3" fillId="0" borderId="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23" fillId="0" borderId="0" xfId="0" applyNumberFormat="1" applyFont="1" applyFill="1" applyAlignment="1">
      <alignment horizontal="center"/>
    </xf>
    <xf numFmtId="3" fontId="0" fillId="3" borderId="3" xfId="0" applyNumberFormat="1" applyFill="1" applyBorder="1"/>
    <xf numFmtId="3" fontId="0" fillId="5" borderId="3" xfId="0" applyNumberFormat="1" applyFill="1" applyBorder="1"/>
    <xf numFmtId="9" fontId="5" fillId="0" borderId="8" xfId="1" applyNumberFormat="1" applyFont="1" applyFill="1" applyBorder="1" applyAlignment="1">
      <alignment horizontal="center"/>
    </xf>
    <xf numFmtId="9" fontId="0" fillId="0" borderId="23" xfId="1" applyFont="1" applyBorder="1" applyAlignment="1">
      <alignment horizontal="center"/>
    </xf>
    <xf numFmtId="9" fontId="0" fillId="5" borderId="18" xfId="1" applyFont="1" applyFill="1" applyBorder="1" applyAlignment="1">
      <alignment horizontal="center"/>
    </xf>
    <xf numFmtId="165" fontId="0" fillId="3" borderId="6" xfId="1" applyNumberFormat="1" applyFont="1" applyFill="1" applyBorder="1" applyAlignment="1">
      <alignment horizontal="center"/>
    </xf>
    <xf numFmtId="3" fontId="23" fillId="0" borderId="3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7686-AF73-4529-94B6-8785FC5504C0}">
  <dimension ref="A1:AY40"/>
  <sheetViews>
    <sheetView rightToLeft="1" topLeftCell="I4" zoomScale="118" workbookViewId="0">
      <selection activeCell="Z15" sqref="Z15"/>
    </sheetView>
  </sheetViews>
  <sheetFormatPr defaultRowHeight="13.85" x14ac:dyDescent="0.25"/>
  <cols>
    <col min="1" max="1" width="8.6328125" customWidth="1"/>
    <col min="2" max="2" width="8.90625" customWidth="1"/>
    <col min="3" max="3" width="7.6328125" customWidth="1"/>
    <col min="4" max="4" width="1.36328125" customWidth="1"/>
    <col min="5" max="5" width="8.36328125" style="7" customWidth="1"/>
    <col min="6" max="8" width="9.453125" customWidth="1"/>
    <col min="9" max="9" width="1.26953125" customWidth="1"/>
    <col min="10" max="10" width="8.81640625" customWidth="1"/>
    <col min="11" max="11" width="8.26953125" customWidth="1"/>
    <col min="12" max="12" width="1.81640625" customWidth="1"/>
    <col min="13" max="14" width="10.36328125" customWidth="1"/>
    <col min="15" max="15" width="1.26953125" customWidth="1"/>
    <col min="16" max="16" width="7.90625" customWidth="1"/>
    <col min="17" max="17" width="8.453125" customWidth="1"/>
    <col min="18" max="18" width="1.26953125" style="236" customWidth="1"/>
    <col min="19" max="20" width="10.54296875" customWidth="1"/>
    <col min="21" max="21" width="1.54296875" style="236" customWidth="1"/>
    <col min="22" max="22" width="8.36328125" style="236" customWidth="1"/>
    <col min="23" max="23" width="8.1796875" style="236" customWidth="1"/>
    <col min="24" max="24" width="3.36328125" style="236" customWidth="1"/>
    <col min="25" max="25" width="6.6328125" customWidth="1"/>
    <col min="26" max="26" width="10.453125" customWidth="1"/>
    <col min="27" max="27" width="8.81640625" customWidth="1"/>
    <col min="28" max="28" width="10.1796875" customWidth="1"/>
    <col min="34" max="36" width="7.453125" customWidth="1"/>
    <col min="38" max="42" width="8.81640625" customWidth="1"/>
    <col min="43" max="43" width="9.81640625" customWidth="1"/>
    <col min="44" max="44" width="9" customWidth="1"/>
    <col min="45" max="45" width="7.90625" customWidth="1"/>
    <col min="46" max="46" width="8.6328125" customWidth="1"/>
    <col min="50" max="50" width="9.6328125" bestFit="1" customWidth="1"/>
  </cols>
  <sheetData>
    <row r="1" spans="1:51" ht="17.850000000000001" x14ac:dyDescent="0.35">
      <c r="B1" s="36" t="s">
        <v>102</v>
      </c>
      <c r="G1" s="365">
        <v>0.02</v>
      </c>
      <c r="H1" s="366">
        <v>35</v>
      </c>
      <c r="J1" s="36" t="s">
        <v>45</v>
      </c>
      <c r="K1" s="36"/>
      <c r="L1" s="36"/>
    </row>
    <row r="2" spans="1:51" ht="18.45" thickBot="1" x14ac:dyDescent="0.4">
      <c r="B2" s="36" t="s">
        <v>52</v>
      </c>
      <c r="G2" s="7"/>
      <c r="K2" s="36" t="s">
        <v>97</v>
      </c>
      <c r="P2" s="36" t="s">
        <v>88</v>
      </c>
      <c r="Q2" s="36"/>
      <c r="R2" s="304"/>
      <c r="S2" s="36"/>
      <c r="T2" s="36"/>
      <c r="U2" s="304"/>
      <c r="V2" s="304" t="s">
        <v>103</v>
      </c>
      <c r="W2" s="304"/>
      <c r="X2" s="304"/>
    </row>
    <row r="3" spans="1:51" ht="18.45" thickBot="1" x14ac:dyDescent="0.4">
      <c r="B3" s="68" t="s">
        <v>38</v>
      </c>
      <c r="C3" s="319"/>
      <c r="D3" s="318"/>
      <c r="E3" s="65" t="s">
        <v>41</v>
      </c>
      <c r="F3" s="67"/>
      <c r="G3" s="228" t="s">
        <v>99</v>
      </c>
      <c r="H3" s="283"/>
      <c r="J3" s="240" t="s">
        <v>91</v>
      </c>
      <c r="K3" s="287"/>
      <c r="L3" s="272"/>
      <c r="M3" s="281" t="s">
        <v>96</v>
      </c>
      <c r="N3" s="303"/>
      <c r="O3" s="36"/>
      <c r="P3" s="240" t="s">
        <v>91</v>
      </c>
      <c r="Q3" s="268"/>
      <c r="R3" s="244"/>
      <c r="S3" s="281" t="s">
        <v>96</v>
      </c>
      <c r="T3" s="271"/>
      <c r="U3" s="351"/>
      <c r="V3" s="351"/>
      <c r="W3" s="351"/>
      <c r="X3" s="351"/>
      <c r="Y3" s="68"/>
      <c r="Z3" s="182"/>
      <c r="AA3" s="74" t="s">
        <v>37</v>
      </c>
      <c r="AB3" s="69"/>
      <c r="AH3" s="36"/>
    </row>
    <row r="4" spans="1:51" ht="14.4" thickBot="1" x14ac:dyDescent="0.3">
      <c r="A4" t="s">
        <v>52</v>
      </c>
      <c r="B4" s="320">
        <v>1</v>
      </c>
      <c r="C4" s="321">
        <v>2</v>
      </c>
      <c r="D4" s="8"/>
      <c r="E4" s="139">
        <v>3</v>
      </c>
      <c r="F4" s="142">
        <v>4</v>
      </c>
      <c r="G4" s="131">
        <v>5</v>
      </c>
      <c r="H4" s="143">
        <v>6</v>
      </c>
      <c r="I4" s="8"/>
      <c r="J4" s="157">
        <v>5</v>
      </c>
      <c r="K4" s="288">
        <v>6</v>
      </c>
      <c r="L4" s="276"/>
      <c r="M4" s="297">
        <v>7</v>
      </c>
      <c r="N4" s="292">
        <v>8</v>
      </c>
      <c r="O4" s="8"/>
      <c r="P4" s="331">
        <v>9</v>
      </c>
      <c r="Q4" s="311">
        <v>10</v>
      </c>
      <c r="R4" s="305"/>
      <c r="S4" s="300">
        <v>11</v>
      </c>
      <c r="T4" s="265">
        <v>12</v>
      </c>
      <c r="U4" s="305"/>
      <c r="V4" s="305"/>
      <c r="W4" s="305"/>
      <c r="X4" s="305"/>
      <c r="Y4" s="160">
        <v>7</v>
      </c>
      <c r="Z4" s="157">
        <v>8</v>
      </c>
      <c r="AA4" s="157">
        <v>9</v>
      </c>
      <c r="AB4" s="156">
        <v>10</v>
      </c>
      <c r="AI4" s="8"/>
    </row>
    <row r="5" spans="1:51" x14ac:dyDescent="0.25">
      <c r="B5" s="322" t="s">
        <v>5</v>
      </c>
      <c r="C5" s="323" t="s">
        <v>84</v>
      </c>
      <c r="D5" s="174"/>
      <c r="E5" s="238" t="s">
        <v>14</v>
      </c>
      <c r="F5" s="246" t="s">
        <v>26</v>
      </c>
      <c r="G5" s="258" t="s">
        <v>26</v>
      </c>
      <c r="H5" s="229" t="s">
        <v>78</v>
      </c>
      <c r="I5" s="5"/>
      <c r="J5" s="286" t="s">
        <v>93</v>
      </c>
      <c r="K5" s="273" t="s">
        <v>92</v>
      </c>
      <c r="L5" s="277"/>
      <c r="M5" s="312" t="s">
        <v>95</v>
      </c>
      <c r="N5" s="293" t="s">
        <v>84</v>
      </c>
      <c r="O5" s="92"/>
      <c r="P5" s="332" t="s">
        <v>82</v>
      </c>
      <c r="Q5" s="273" t="s">
        <v>92</v>
      </c>
      <c r="R5" s="306"/>
      <c r="S5" s="298" t="s">
        <v>7</v>
      </c>
      <c r="T5" s="293" t="s">
        <v>84</v>
      </c>
      <c r="U5" s="352"/>
      <c r="V5" s="352"/>
      <c r="W5" s="352"/>
      <c r="X5" s="352"/>
      <c r="Y5" s="179" t="s">
        <v>56</v>
      </c>
      <c r="Z5" s="146"/>
      <c r="AA5" s="126" t="s">
        <v>43</v>
      </c>
      <c r="AB5" s="168" t="s">
        <v>42</v>
      </c>
      <c r="AL5" t="s">
        <v>16</v>
      </c>
      <c r="AM5" s="5" t="s">
        <v>11</v>
      </c>
      <c r="AN5" t="s">
        <v>5</v>
      </c>
      <c r="AP5" s="1" t="s">
        <v>12</v>
      </c>
      <c r="AQ5" t="s">
        <v>6</v>
      </c>
      <c r="AR5" t="s">
        <v>9</v>
      </c>
      <c r="AS5" t="s">
        <v>3</v>
      </c>
      <c r="AT5" s="3" t="s">
        <v>4</v>
      </c>
      <c r="AV5" t="s">
        <v>3</v>
      </c>
      <c r="AW5" t="s">
        <v>2</v>
      </c>
      <c r="AX5" t="s">
        <v>1</v>
      </c>
      <c r="AY5" t="s">
        <v>5</v>
      </c>
    </row>
    <row r="6" spans="1:51" x14ac:dyDescent="0.25">
      <c r="B6" s="324" t="s">
        <v>30</v>
      </c>
      <c r="C6" s="325" t="s">
        <v>83</v>
      </c>
      <c r="D6" s="34"/>
      <c r="E6" s="247" t="s">
        <v>25</v>
      </c>
      <c r="F6" s="248" t="s">
        <v>29</v>
      </c>
      <c r="G6" s="259" t="s">
        <v>76</v>
      </c>
      <c r="H6" s="41" t="s">
        <v>79</v>
      </c>
      <c r="I6" s="5"/>
      <c r="J6" s="239" t="s">
        <v>94</v>
      </c>
      <c r="K6" s="274" t="s">
        <v>85</v>
      </c>
      <c r="L6" s="278"/>
      <c r="M6" s="313" t="s">
        <v>8</v>
      </c>
      <c r="N6" s="294" t="s">
        <v>85</v>
      </c>
      <c r="O6" s="31"/>
      <c r="P6" s="333" t="s">
        <v>98</v>
      </c>
      <c r="Q6" s="274" t="s">
        <v>85</v>
      </c>
      <c r="R6" s="307"/>
      <c r="S6" s="299" t="s">
        <v>63</v>
      </c>
      <c r="T6" s="294" t="s">
        <v>85</v>
      </c>
      <c r="U6" s="278"/>
      <c r="V6" s="278"/>
      <c r="W6" s="278"/>
      <c r="X6" s="278"/>
      <c r="Y6" s="159" t="s">
        <v>53</v>
      </c>
      <c r="Z6" s="78"/>
      <c r="AA6" s="7" t="s">
        <v>19</v>
      </c>
      <c r="AB6" s="169" t="s">
        <v>33</v>
      </c>
      <c r="AH6" s="10"/>
      <c r="AI6" s="1"/>
      <c r="AL6" s="9">
        <v>10000</v>
      </c>
      <c r="AM6" s="9" t="s">
        <v>15</v>
      </c>
      <c r="AN6" s="8" t="s">
        <v>10</v>
      </c>
      <c r="AP6" s="11" t="s">
        <v>13</v>
      </c>
      <c r="AQ6" s="11" t="s">
        <v>8</v>
      </c>
      <c r="AY6" s="1">
        <v>0.02</v>
      </c>
    </row>
    <row r="7" spans="1:51" x14ac:dyDescent="0.25">
      <c r="B7" s="326">
        <v>20</v>
      </c>
      <c r="C7" s="327">
        <v>0.02</v>
      </c>
      <c r="D7" s="34"/>
      <c r="E7" s="249">
        <v>34000</v>
      </c>
      <c r="F7" s="250" t="s">
        <v>15</v>
      </c>
      <c r="G7" s="230" t="s">
        <v>15</v>
      </c>
      <c r="H7" s="284" t="s">
        <v>80</v>
      </c>
      <c r="I7" s="9"/>
      <c r="J7" s="285">
        <v>0.02</v>
      </c>
      <c r="K7" s="275" t="s">
        <v>86</v>
      </c>
      <c r="L7" s="279"/>
      <c r="M7" s="314" t="s">
        <v>28</v>
      </c>
      <c r="N7" s="295" t="s">
        <v>86</v>
      </c>
      <c r="O7" s="8"/>
      <c r="P7" s="263">
        <v>0.02</v>
      </c>
      <c r="Q7" s="275" t="s">
        <v>86</v>
      </c>
      <c r="R7" s="308"/>
      <c r="S7" s="300" t="s">
        <v>28</v>
      </c>
      <c r="T7" s="295" t="s">
        <v>86</v>
      </c>
      <c r="U7" s="279"/>
      <c r="V7" s="279"/>
      <c r="W7" s="279"/>
      <c r="X7" s="279"/>
      <c r="Y7" s="160" t="s">
        <v>55</v>
      </c>
      <c r="Z7" s="131" t="s">
        <v>28</v>
      </c>
      <c r="AA7" s="11" t="s">
        <v>35</v>
      </c>
      <c r="AB7" s="170" t="s">
        <v>34</v>
      </c>
      <c r="AH7" s="10"/>
      <c r="AI7" s="10"/>
      <c r="AL7" s="9"/>
      <c r="AM7" s="9"/>
      <c r="AN7" s="8"/>
      <c r="AP7" s="11"/>
      <c r="AQ7" s="11"/>
      <c r="AY7" s="1"/>
    </row>
    <row r="8" spans="1:51" x14ac:dyDescent="0.25">
      <c r="B8" s="326" t="s">
        <v>57</v>
      </c>
      <c r="C8" s="339">
        <v>0.7</v>
      </c>
      <c r="D8" s="55"/>
      <c r="E8" s="251"/>
      <c r="F8" s="252" t="s">
        <v>32</v>
      </c>
      <c r="G8" s="231" t="s">
        <v>77</v>
      </c>
      <c r="H8" s="237" t="s">
        <v>81</v>
      </c>
      <c r="I8" s="75"/>
      <c r="J8" s="243" t="s">
        <v>90</v>
      </c>
      <c r="K8" s="252" t="s">
        <v>87</v>
      </c>
      <c r="L8" s="269"/>
      <c r="M8" s="315" t="s">
        <v>49</v>
      </c>
      <c r="N8" s="43" t="s">
        <v>89</v>
      </c>
      <c r="O8" s="43"/>
      <c r="P8" s="43" t="s">
        <v>100</v>
      </c>
      <c r="Q8" s="43" t="s">
        <v>101</v>
      </c>
      <c r="R8" s="309"/>
      <c r="S8" s="252" t="s">
        <v>49</v>
      </c>
      <c r="T8" s="309"/>
      <c r="U8" s="309"/>
      <c r="V8" s="309"/>
      <c r="W8" s="309"/>
      <c r="X8" s="309"/>
      <c r="Y8" s="180" t="s">
        <v>54</v>
      </c>
      <c r="Z8" s="123" t="s">
        <v>23</v>
      </c>
      <c r="AA8" s="26" t="s">
        <v>44</v>
      </c>
      <c r="AB8" s="123" t="s">
        <v>58</v>
      </c>
      <c r="AH8" s="19"/>
      <c r="AI8" s="10"/>
      <c r="AL8" s="33">
        <v>20.329999999999998</v>
      </c>
      <c r="AM8" s="9"/>
      <c r="AN8" s="8"/>
      <c r="AP8" s="11"/>
      <c r="AQ8" s="11"/>
      <c r="AY8" s="1"/>
    </row>
    <row r="9" spans="1:51" x14ac:dyDescent="0.25">
      <c r="B9" s="322">
        <v>20</v>
      </c>
      <c r="C9" s="328">
        <f>IF(B9&lt;$H$1,B9*$C$7,(B9-(B9-$H$1))*$C$7)</f>
        <v>0.4</v>
      </c>
      <c r="D9" s="55"/>
      <c r="E9" s="253">
        <f t="shared" ref="E9:E37" si="0">IF(B9&gt;$B$7,B9-$B$7,0)</f>
        <v>0</v>
      </c>
      <c r="F9" s="254">
        <f t="shared" ref="F9:F37" si="1">E9/B9</f>
        <v>0</v>
      </c>
      <c r="G9" s="260">
        <f>IF(E9&gt;0,$B$7/B9,100%)</f>
        <v>1</v>
      </c>
      <c r="H9" s="234">
        <f>G9+F9</f>
        <v>1</v>
      </c>
      <c r="I9" s="75"/>
      <c r="J9" s="242">
        <f>E9*$J$7</f>
        <v>0</v>
      </c>
      <c r="K9" s="232">
        <f>IF(J9=0,0,J9/E9)</f>
        <v>0</v>
      </c>
      <c r="L9" s="21"/>
      <c r="M9" s="316">
        <f t="shared" ref="M9:M17" si="2">F9*C9</f>
        <v>0</v>
      </c>
      <c r="N9" s="296">
        <f>IF(AND(B9&lt;$B$16,M9&gt;0),M9/E9,M9/($B$7*G9))</f>
        <v>0</v>
      </c>
      <c r="O9" s="15"/>
      <c r="P9" s="264">
        <f>IF(C9&lt;$C$8,$B$7*$C$7,$C$8-F9)</f>
        <v>0.4</v>
      </c>
      <c r="Q9" s="334">
        <f t="shared" ref="Q9:Q37" si="3">P9/$B$7</f>
        <v>0.02</v>
      </c>
      <c r="R9" s="282"/>
      <c r="S9" s="301">
        <f t="shared" ref="S9:S37" si="4">C9*G9</f>
        <v>0.4</v>
      </c>
      <c r="T9" s="267">
        <f t="shared" ref="T9:T37" si="5">S9/$B$7</f>
        <v>0.02</v>
      </c>
      <c r="U9" s="150"/>
      <c r="V9" s="367">
        <f>Q9*B9</f>
        <v>0.4</v>
      </c>
      <c r="W9" s="267">
        <f>B9*T9</f>
        <v>0.4</v>
      </c>
      <c r="X9" s="150"/>
      <c r="Y9" s="183" t="e">
        <f>J9/E9</f>
        <v>#DIV/0!</v>
      </c>
      <c r="Z9" s="183" t="e">
        <f>M9/E9</f>
        <v>#DIV/0!</v>
      </c>
      <c r="AA9" s="122">
        <f>J9-M9</f>
        <v>0</v>
      </c>
      <c r="AB9" s="124" t="e">
        <f t="shared" ref="AB9:AB16" si="6">((Z9/$C$7)-1)*-1</f>
        <v>#DIV/0!</v>
      </c>
      <c r="AH9" s="19"/>
      <c r="AI9" s="10"/>
      <c r="AL9" s="33"/>
      <c r="AM9" s="9"/>
      <c r="AN9" s="8"/>
      <c r="AP9" s="11"/>
      <c r="AQ9" s="11"/>
      <c r="AY9" s="1"/>
    </row>
    <row r="10" spans="1:51" x14ac:dyDescent="0.25">
      <c r="B10" s="322">
        <v>25</v>
      </c>
      <c r="C10" s="328">
        <f>IF(B10&lt;$H$1,B10*$C$7,(B10-(B10-$H$1))*$C$7)</f>
        <v>0.5</v>
      </c>
      <c r="D10" s="55"/>
      <c r="E10" s="253">
        <f t="shared" si="0"/>
        <v>5</v>
      </c>
      <c r="F10" s="254">
        <f t="shared" si="1"/>
        <v>0.2</v>
      </c>
      <c r="G10" s="260">
        <f>IF(E10&gt;0,$B$7/B10,100%)</f>
        <v>0.8</v>
      </c>
      <c r="H10" s="234">
        <f>G10+F10</f>
        <v>1</v>
      </c>
      <c r="I10" s="75"/>
      <c r="J10" s="242">
        <f>E10*$J$7</f>
        <v>0.1</v>
      </c>
      <c r="K10" s="232">
        <f>IF(J10=0,0,J10/E10)</f>
        <v>0.02</v>
      </c>
      <c r="L10" s="21"/>
      <c r="M10" s="316">
        <f>F10*C10</f>
        <v>0.1</v>
      </c>
      <c r="N10" s="296">
        <f>IF(AND(B10&lt;$B$16,M10&gt;0),M10/E10,M10/($B$7*G10))</f>
        <v>0.02</v>
      </c>
      <c r="O10" s="15"/>
      <c r="P10" s="264">
        <f>IF(C10&lt;$C$8,$B$7*$C$7,$C$8-F10)</f>
        <v>0.4</v>
      </c>
      <c r="Q10" s="334">
        <f t="shared" si="3"/>
        <v>0.02</v>
      </c>
      <c r="R10" s="282"/>
      <c r="S10" s="301">
        <f>C10*G10</f>
        <v>0.4</v>
      </c>
      <c r="T10" s="267">
        <f t="shared" si="5"/>
        <v>0.02</v>
      </c>
      <c r="U10" s="150"/>
      <c r="V10" s="367">
        <f t="shared" ref="V10:V37" si="7">Q10*B10</f>
        <v>0.5</v>
      </c>
      <c r="W10" s="267">
        <f t="shared" ref="W10:W13" si="8">B10*T10</f>
        <v>0.5</v>
      </c>
      <c r="X10" s="150"/>
      <c r="Y10" s="183"/>
      <c r="Z10" s="183"/>
      <c r="AA10" s="122"/>
      <c r="AB10" s="124"/>
      <c r="AH10" s="19"/>
      <c r="AI10" s="10"/>
      <c r="AL10" s="33"/>
      <c r="AM10" s="9"/>
      <c r="AN10" s="8"/>
      <c r="AP10" s="11"/>
      <c r="AQ10" s="11"/>
      <c r="AY10" s="1"/>
    </row>
    <row r="11" spans="1:51" x14ac:dyDescent="0.25">
      <c r="B11" s="322">
        <v>30</v>
      </c>
      <c r="C11" s="328">
        <f>IF(B11&lt;$B$16,B11*$C$7,(B11-(B11-$B$16))*$C$7)</f>
        <v>0.6</v>
      </c>
      <c r="D11" s="15"/>
      <c r="E11" s="253">
        <f t="shared" si="0"/>
        <v>10</v>
      </c>
      <c r="F11" s="254">
        <f t="shared" si="1"/>
        <v>0.33333333333333331</v>
      </c>
      <c r="G11" s="260">
        <f>IF(E11&gt;0,$B$7/B11,100%)</f>
        <v>0.66666666666666663</v>
      </c>
      <c r="H11" s="234">
        <f t="shared" ref="H11:H37" si="9">G11+F11</f>
        <v>1</v>
      </c>
      <c r="I11" s="21"/>
      <c r="J11" s="360">
        <f>E11*$J$7</f>
        <v>0.2</v>
      </c>
      <c r="K11" s="232">
        <f>J11/E11</f>
        <v>0.02</v>
      </c>
      <c r="L11" s="21"/>
      <c r="M11" s="316">
        <f>F11*C11</f>
        <v>0.19999999999999998</v>
      </c>
      <c r="N11" s="296">
        <f>IF(AND(B11&lt;$B$16,M11&gt;0),M11/E11,M11/($B$7*G11))</f>
        <v>1.9999999999999997E-2</v>
      </c>
      <c r="O11" s="15"/>
      <c r="P11" s="264">
        <f>IF(C11&lt;$C$8,$B$7*$C$7,$C$8-F11)</f>
        <v>0.4</v>
      </c>
      <c r="Q11" s="334">
        <f t="shared" si="3"/>
        <v>0.02</v>
      </c>
      <c r="R11" s="282"/>
      <c r="S11" s="301">
        <f>C11*G11</f>
        <v>0.39999999999999997</v>
      </c>
      <c r="T11" s="267">
        <f t="shared" si="5"/>
        <v>1.9999999999999997E-2</v>
      </c>
      <c r="U11" s="150"/>
      <c r="V11" s="367">
        <f t="shared" si="7"/>
        <v>0.6</v>
      </c>
      <c r="W11" s="267">
        <f t="shared" si="8"/>
        <v>0.59999999999999987</v>
      </c>
      <c r="X11" s="150"/>
      <c r="Y11" s="183">
        <f>J11/E11</f>
        <v>0.02</v>
      </c>
      <c r="Z11" s="183">
        <f>M11/E11</f>
        <v>1.9999999999999997E-2</v>
      </c>
      <c r="AA11" s="122">
        <f>J11-M11</f>
        <v>0</v>
      </c>
      <c r="AB11" s="124">
        <f t="shared" si="6"/>
        <v>2.2204460492503131E-16</v>
      </c>
      <c r="AH11" s="22"/>
      <c r="AI11" s="22"/>
      <c r="AL11">
        <v>20.329999999999998</v>
      </c>
      <c r="AM11" s="4">
        <f>AL11/B11</f>
        <v>0.67766666666666664</v>
      </c>
      <c r="AN11" s="7">
        <f>AR11+AP11</f>
        <v>0</v>
      </c>
      <c r="AP11" s="4"/>
      <c r="AQ11" s="2">
        <f xml:space="preserve"> $E$7*M11</f>
        <v>6799.9999999999991</v>
      </c>
      <c r="AS11" s="5">
        <f>E7*M11</f>
        <v>6799.9999999999991</v>
      </c>
      <c r="AV11" s="5">
        <f>AL6*AW11</f>
        <v>4065.9999999999995</v>
      </c>
      <c r="AW11" s="4">
        <f>AL11*$AY$6</f>
        <v>0.40659999999999996</v>
      </c>
      <c r="AY11">
        <v>30</v>
      </c>
    </row>
    <row r="12" spans="1:51" x14ac:dyDescent="0.25">
      <c r="B12" s="329">
        <f>B11+1</f>
        <v>31</v>
      </c>
      <c r="C12" s="328">
        <f>IF(B12&lt;$B$16,B12*$C$7,(B12-(B12-$B$16))*$C$7)</f>
        <v>0.62</v>
      </c>
      <c r="D12" s="15"/>
      <c r="E12" s="253">
        <f t="shared" si="0"/>
        <v>11</v>
      </c>
      <c r="F12" s="254">
        <f t="shared" si="1"/>
        <v>0.35483870967741937</v>
      </c>
      <c r="G12" s="260">
        <f>IF(E12&gt;0,$B$7/B12,100%)</f>
        <v>0.64516129032258063</v>
      </c>
      <c r="H12" s="234">
        <f t="shared" si="9"/>
        <v>1</v>
      </c>
      <c r="I12" s="21"/>
      <c r="J12" s="360">
        <f>E12*$J$7</f>
        <v>0.22</v>
      </c>
      <c r="K12" s="232">
        <f>J12/E12</f>
        <v>0.02</v>
      </c>
      <c r="L12" s="21"/>
      <c r="M12" s="316">
        <f>F12*C12</f>
        <v>0.22</v>
      </c>
      <c r="N12" s="296">
        <f>IF(AND(B12&lt;$B$16,M12&gt;0),M12/E12,M12/($B$7*G12))</f>
        <v>0.02</v>
      </c>
      <c r="O12" s="15"/>
      <c r="P12" s="264">
        <f>IF(C12&lt;$C$8,$B$7*$C$7,$C$8-F12)</f>
        <v>0.4</v>
      </c>
      <c r="Q12" s="334">
        <f t="shared" si="3"/>
        <v>0.02</v>
      </c>
      <c r="R12" s="282"/>
      <c r="S12" s="301">
        <f>C12*G12</f>
        <v>0.39999999999999997</v>
      </c>
      <c r="T12" s="267">
        <f t="shared" si="5"/>
        <v>1.9999999999999997E-2</v>
      </c>
      <c r="U12" s="150"/>
      <c r="V12" s="367">
        <f t="shared" si="7"/>
        <v>0.62</v>
      </c>
      <c r="W12" s="267">
        <f t="shared" si="8"/>
        <v>0.61999999999999988</v>
      </c>
      <c r="X12" s="150"/>
      <c r="Y12" s="183">
        <f>J12/E12</f>
        <v>0.02</v>
      </c>
      <c r="Z12" s="183">
        <f>M12/E12</f>
        <v>0.02</v>
      </c>
      <c r="AA12" s="122">
        <f>J12-M12</f>
        <v>0</v>
      </c>
      <c r="AB12" s="124">
        <f t="shared" si="6"/>
        <v>0</v>
      </c>
      <c r="AH12" s="22"/>
      <c r="AI12" s="22"/>
      <c r="AL12">
        <f>+$AL$11</f>
        <v>20.329999999999998</v>
      </c>
      <c r="AM12" s="4">
        <f>AL12/B12</f>
        <v>0.65580645161290319</v>
      </c>
      <c r="AN12" s="7">
        <f>AR12+AP12</f>
        <v>2.0000000000000018E-2</v>
      </c>
      <c r="AP12" s="4">
        <f>M12-M11</f>
        <v>2.0000000000000018E-2</v>
      </c>
      <c r="AQ12" s="2">
        <f xml:space="preserve"> $E$7*M12</f>
        <v>7480</v>
      </c>
      <c r="AT12" s="4">
        <f>E12*$AY$6</f>
        <v>0.22</v>
      </c>
      <c r="AV12" s="5">
        <f t="shared" ref="AV12:AV14" si="10">AW11*AW12</f>
        <v>0.16532355999999998</v>
      </c>
      <c r="AW12" s="4">
        <f>AL12*$AY$6</f>
        <v>0.40659999999999996</v>
      </c>
      <c r="AY12">
        <v>31</v>
      </c>
    </row>
    <row r="13" spans="1:51" x14ac:dyDescent="0.25">
      <c r="B13" s="329">
        <f t="shared" ref="B13:B15" si="11">B12+1</f>
        <v>32</v>
      </c>
      <c r="C13" s="328">
        <f>IF(B13&lt;$B$16,B13*$C$7,(B13-(B13-$B$16))*$C$7)</f>
        <v>0.64</v>
      </c>
      <c r="D13" s="15"/>
      <c r="E13" s="253">
        <f t="shared" si="0"/>
        <v>12</v>
      </c>
      <c r="F13" s="254">
        <f t="shared" si="1"/>
        <v>0.375</v>
      </c>
      <c r="G13" s="260">
        <f>IF(E13&gt;0,$B$7/B13,100%)</f>
        <v>0.625</v>
      </c>
      <c r="H13" s="234">
        <f t="shared" si="9"/>
        <v>1</v>
      </c>
      <c r="I13" s="21"/>
      <c r="J13" s="242">
        <f>E13*$J$7</f>
        <v>0.24</v>
      </c>
      <c r="K13" s="232">
        <f>J13/E13</f>
        <v>0.02</v>
      </c>
      <c r="L13" s="21"/>
      <c r="M13" s="316">
        <f t="shared" si="2"/>
        <v>0.24</v>
      </c>
      <c r="N13" s="296">
        <f>IF(AND(B13&lt;$B$16,M13&gt;0),M13/E13,M13/($B$7*G13))</f>
        <v>0.02</v>
      </c>
      <c r="O13" s="15"/>
      <c r="P13" s="264">
        <f t="shared" ref="P13:P15" si="12">IF(C13&lt;$C$8,$B$7*$C$7,$C$8-F13)</f>
        <v>0.4</v>
      </c>
      <c r="Q13" s="340">
        <f t="shared" si="3"/>
        <v>0.02</v>
      </c>
      <c r="R13" s="282"/>
      <c r="S13" s="301">
        <f t="shared" si="4"/>
        <v>0.4</v>
      </c>
      <c r="T13" s="267">
        <f t="shared" si="5"/>
        <v>0.02</v>
      </c>
      <c r="U13" s="150"/>
      <c r="V13" s="367">
        <f t="shared" si="7"/>
        <v>0.64</v>
      </c>
      <c r="W13" s="267">
        <f t="shared" si="8"/>
        <v>0.64</v>
      </c>
      <c r="X13" s="150"/>
      <c r="Y13" s="183">
        <f>J13/E13</f>
        <v>0.02</v>
      </c>
      <c r="Z13" s="183">
        <f>M13/E13</f>
        <v>0.02</v>
      </c>
      <c r="AA13" s="122">
        <f>J13-M13</f>
        <v>0</v>
      </c>
      <c r="AB13" s="124">
        <f t="shared" si="6"/>
        <v>0</v>
      </c>
      <c r="AH13" s="22"/>
      <c r="AI13" s="22"/>
      <c r="AL13">
        <f>+$AL$11</f>
        <v>20.329999999999998</v>
      </c>
      <c r="AM13" s="4">
        <f>AL13/B13</f>
        <v>0.63531249999999995</v>
      </c>
      <c r="AN13" s="7">
        <f>AR13+AP13</f>
        <v>1.999999999999999E-2</v>
      </c>
      <c r="AP13" s="4">
        <f>M13-M12</f>
        <v>1.999999999999999E-2</v>
      </c>
      <c r="AQ13" s="2">
        <f xml:space="preserve"> $E$7*M13</f>
        <v>8160</v>
      </c>
      <c r="AT13" s="4">
        <f>E13*$AY$6</f>
        <v>0.24</v>
      </c>
      <c r="AV13" s="5">
        <f t="shared" si="10"/>
        <v>0.16532355999999998</v>
      </c>
      <c r="AW13" s="4">
        <f>AL13*$AY$6</f>
        <v>0.40659999999999996</v>
      </c>
      <c r="AY13">
        <v>35</v>
      </c>
    </row>
    <row r="14" spans="1:51" x14ac:dyDescent="0.25">
      <c r="B14" s="329">
        <f t="shared" si="11"/>
        <v>33</v>
      </c>
      <c r="C14" s="328">
        <f>IF(B14&lt;$B$16,B14*$C$7,(B14-(B14-$B$16))*$C$7)</f>
        <v>0.66</v>
      </c>
      <c r="D14" s="15"/>
      <c r="E14" s="253">
        <f t="shared" si="0"/>
        <v>13</v>
      </c>
      <c r="F14" s="254">
        <f t="shared" si="1"/>
        <v>0.39393939393939392</v>
      </c>
      <c r="G14" s="260">
        <f>IF(E14&gt;0,$B$7/B14,100%)</f>
        <v>0.60606060606060608</v>
      </c>
      <c r="H14" s="234">
        <f t="shared" si="9"/>
        <v>1</v>
      </c>
      <c r="I14" s="21"/>
      <c r="J14" s="242">
        <f>E14*$J$7</f>
        <v>0.26</v>
      </c>
      <c r="K14" s="232">
        <f>J14/E14</f>
        <v>0.02</v>
      </c>
      <c r="L14" s="21"/>
      <c r="M14" s="316">
        <f t="shared" si="2"/>
        <v>0.26</v>
      </c>
      <c r="N14" s="296">
        <f>IF(AND(B14&lt;$B$16,M14&gt;0),M14/E14,M14/($B$7*G14))</f>
        <v>0.02</v>
      </c>
      <c r="O14" s="15"/>
      <c r="P14" s="264">
        <f t="shared" si="12"/>
        <v>0.4</v>
      </c>
      <c r="Q14" s="334">
        <f t="shared" si="3"/>
        <v>0.02</v>
      </c>
      <c r="R14" s="282"/>
      <c r="S14" s="301">
        <f t="shared" si="4"/>
        <v>0.4</v>
      </c>
      <c r="T14" s="267">
        <f t="shared" si="5"/>
        <v>0.02</v>
      </c>
      <c r="U14" s="150"/>
      <c r="V14" s="367">
        <f t="shared" si="7"/>
        <v>0.66</v>
      </c>
      <c r="W14" s="267">
        <f t="shared" ref="W14:W37" si="13">S14+M14</f>
        <v>0.66</v>
      </c>
      <c r="X14" s="150"/>
      <c r="Y14" s="183">
        <f>J14/E14</f>
        <v>0.02</v>
      </c>
      <c r="Z14" s="183">
        <f>M14/E14</f>
        <v>0.02</v>
      </c>
      <c r="AA14" s="122">
        <f>J14-M14</f>
        <v>0</v>
      </c>
      <c r="AB14" s="124">
        <f t="shared" si="6"/>
        <v>0</v>
      </c>
      <c r="AH14" s="23"/>
      <c r="AI14" s="23"/>
      <c r="AL14">
        <f>+$AL$11</f>
        <v>20.329999999999998</v>
      </c>
      <c r="AM14" s="4">
        <f>AL14/B14</f>
        <v>0.61606060606060598</v>
      </c>
      <c r="AN14" s="7">
        <f>AR14+AP14</f>
        <v>2.0000000000000018E-2</v>
      </c>
      <c r="AP14" s="4">
        <f>M14-M13</f>
        <v>2.0000000000000018E-2</v>
      </c>
      <c r="AQ14" s="2">
        <f xml:space="preserve"> $E$7*M14</f>
        <v>8840</v>
      </c>
      <c r="AT14" s="4">
        <f>E14*$AY$6</f>
        <v>0.26</v>
      </c>
      <c r="AV14" s="5">
        <f t="shared" si="10"/>
        <v>0.16532355999999998</v>
      </c>
      <c r="AW14" s="4">
        <f>AL14*$AY$6</f>
        <v>0.40659999999999996</v>
      </c>
      <c r="AY14">
        <v>36</v>
      </c>
    </row>
    <row r="15" spans="1:51" ht="14.4" thickBot="1" x14ac:dyDescent="0.3">
      <c r="B15" s="347">
        <f t="shared" si="11"/>
        <v>34</v>
      </c>
      <c r="C15" s="349">
        <f>IF(B15&lt;$B$16,B15*$C$7,(B15-(B15-$B$16))*$C$7)</f>
        <v>0.68</v>
      </c>
      <c r="D15" s="15"/>
      <c r="E15" s="253">
        <f t="shared" si="0"/>
        <v>14</v>
      </c>
      <c r="F15" s="254">
        <f t="shared" si="1"/>
        <v>0.41176470588235292</v>
      </c>
      <c r="G15" s="260">
        <f>IF(E15&gt;0,$B$7/B15,100%)</f>
        <v>0.58823529411764708</v>
      </c>
      <c r="H15" s="234">
        <f t="shared" si="9"/>
        <v>1</v>
      </c>
      <c r="I15" s="21"/>
      <c r="J15" s="242">
        <f>E15*$J$7</f>
        <v>0.28000000000000003</v>
      </c>
      <c r="K15" s="232">
        <f>J15/E15</f>
        <v>0.02</v>
      </c>
      <c r="L15" s="21"/>
      <c r="M15" s="316">
        <f t="shared" si="2"/>
        <v>0.28000000000000003</v>
      </c>
      <c r="N15" s="296">
        <f>IF(AND(B15&lt;$B$16,M15&gt;0),M15/E15,M15/($B$7*G15))</f>
        <v>0.02</v>
      </c>
      <c r="O15" s="15"/>
      <c r="P15" s="264">
        <f t="shared" si="12"/>
        <v>0.4</v>
      </c>
      <c r="Q15" s="334">
        <f t="shared" si="3"/>
        <v>0.02</v>
      </c>
      <c r="R15" s="282"/>
      <c r="S15" s="301">
        <f t="shared" si="4"/>
        <v>0.4</v>
      </c>
      <c r="T15" s="267">
        <f t="shared" si="5"/>
        <v>0.02</v>
      </c>
      <c r="U15" s="150"/>
      <c r="V15" s="367">
        <f t="shared" si="7"/>
        <v>0.68</v>
      </c>
      <c r="W15" s="267">
        <f t="shared" si="13"/>
        <v>0.68</v>
      </c>
      <c r="X15" s="150"/>
      <c r="Y15" s="183">
        <f>J15/E15</f>
        <v>0.02</v>
      </c>
      <c r="Z15" s="183">
        <f>M15/E15</f>
        <v>0.02</v>
      </c>
      <c r="AA15" s="122">
        <f>J15-M15</f>
        <v>0</v>
      </c>
      <c r="AB15" s="124">
        <f t="shared" si="6"/>
        <v>0</v>
      </c>
      <c r="AH15" s="22"/>
      <c r="AI15" s="22"/>
      <c r="AJ15" s="71"/>
      <c r="AL15">
        <f>+$AL$11</f>
        <v>20.329999999999998</v>
      </c>
      <c r="AM15" s="4">
        <f>AL15/B15</f>
        <v>0.5979411764705882</v>
      </c>
      <c r="AN15" s="7">
        <f>AR15+AP15</f>
        <v>2.0000000000000018E-2</v>
      </c>
      <c r="AP15" s="4">
        <f>M15-M14</f>
        <v>2.0000000000000018E-2</v>
      </c>
      <c r="AQ15" s="2">
        <f xml:space="preserve"> $E$7*M15</f>
        <v>9520</v>
      </c>
      <c r="AT15" s="4">
        <f>E15*$AY$6</f>
        <v>0.28000000000000003</v>
      </c>
      <c r="AW15" s="4">
        <f>AL15*$AY$6</f>
        <v>0.40659999999999996</v>
      </c>
      <c r="AY15">
        <v>38</v>
      </c>
    </row>
    <row r="16" spans="1:51" ht="14.4" thickBot="1" x14ac:dyDescent="0.3">
      <c r="B16" s="368">
        <f>B15+1</f>
        <v>35</v>
      </c>
      <c r="C16" s="369">
        <f>IF(B16&lt;$B$16,B16*$C$7,(B16-(B16-$B$16))*$C$7)</f>
        <v>0.70000000000000007</v>
      </c>
      <c r="D16" s="32"/>
      <c r="E16" s="363">
        <f t="shared" si="0"/>
        <v>15</v>
      </c>
      <c r="F16" s="371">
        <f t="shared" si="1"/>
        <v>0.42857142857142855</v>
      </c>
      <c r="G16" s="337">
        <f>IF(E16&gt;0,$B$7/B16,100%)</f>
        <v>0.5714285714285714</v>
      </c>
      <c r="H16" s="337">
        <f t="shared" si="9"/>
        <v>1</v>
      </c>
      <c r="I16" s="49"/>
      <c r="J16" s="335">
        <f>E16*$J$7</f>
        <v>0.3</v>
      </c>
      <c r="K16" s="362">
        <f>J16/E16</f>
        <v>0.02</v>
      </c>
      <c r="L16" s="21"/>
      <c r="M16" s="289">
        <f t="shared" si="2"/>
        <v>0.3</v>
      </c>
      <c r="N16" s="289">
        <f>IF(B16&lt;$B$16,M16/E16,M16/E16)</f>
        <v>0.02</v>
      </c>
      <c r="O16" s="282">
        <f>IF(C16&lt;$B$16,N16/F16,N16/($B$7*H16))</f>
        <v>4.6666666666666669E-2</v>
      </c>
      <c r="P16" s="338">
        <f>IF(C16&lt;$C$8,$B$7*$C$7, C16-J16)</f>
        <v>0.40000000000000008</v>
      </c>
      <c r="Q16" s="341">
        <f>(C11-P11)/E11</f>
        <v>1.9999999999999997E-2</v>
      </c>
      <c r="R16" s="310"/>
      <c r="S16" s="289">
        <f t="shared" si="4"/>
        <v>0.4</v>
      </c>
      <c r="T16" s="289">
        <f t="shared" si="5"/>
        <v>0.02</v>
      </c>
      <c r="U16" s="353"/>
      <c r="V16" s="367">
        <f t="shared" si="7"/>
        <v>0.69999999999999984</v>
      </c>
      <c r="W16" s="267">
        <f t="shared" si="13"/>
        <v>0.7</v>
      </c>
      <c r="X16" s="353"/>
      <c r="Y16" s="184">
        <f>J16/E16</f>
        <v>0.02</v>
      </c>
      <c r="Z16" s="184">
        <f>M16/E16</f>
        <v>0.02</v>
      </c>
      <c r="AA16" s="127">
        <f>J16-M16</f>
        <v>0</v>
      </c>
      <c r="AB16" s="125">
        <f t="shared" si="6"/>
        <v>0</v>
      </c>
      <c r="AH16" s="212"/>
      <c r="AI16" s="22"/>
      <c r="AJ16" s="71"/>
      <c r="AL16">
        <f>+$AL$11</f>
        <v>20.329999999999998</v>
      </c>
      <c r="AM16" s="4"/>
      <c r="AN16" s="7"/>
      <c r="AP16" s="4"/>
      <c r="AQ16" s="2"/>
      <c r="AT16" s="4"/>
      <c r="AW16" s="4"/>
    </row>
    <row r="17" spans="2:51" ht="14.4" thickBot="1" x14ac:dyDescent="0.3">
      <c r="B17" s="368">
        <f>B16+0.33</f>
        <v>35.33</v>
      </c>
      <c r="C17" s="369">
        <f>IF(B17&lt;$B$16,B17*$C$7,(B17-(B17-$B$16))*$C$7)</f>
        <v>0.70000000000000007</v>
      </c>
      <c r="D17" s="32"/>
      <c r="E17" s="363">
        <f t="shared" si="0"/>
        <v>15.329999999999998</v>
      </c>
      <c r="F17" s="371">
        <f t="shared" si="1"/>
        <v>0.43390885932635154</v>
      </c>
      <c r="G17" s="337">
        <f>IF(E17&gt;0,$B$7/B17,100%)</f>
        <v>0.56609114067364852</v>
      </c>
      <c r="H17" s="337">
        <f t="shared" si="9"/>
        <v>1</v>
      </c>
      <c r="I17" s="49"/>
      <c r="J17" s="335">
        <f>E17*$J$7</f>
        <v>0.30659999999999998</v>
      </c>
      <c r="K17" s="362">
        <f>J17/E17</f>
        <v>0.02</v>
      </c>
      <c r="L17" s="21"/>
      <c r="M17" s="289">
        <f t="shared" si="2"/>
        <v>0.3037362015284461</v>
      </c>
      <c r="N17" s="342">
        <f>IF(B17&lt;$B$16,M17/E17,M17/E17)</f>
        <v>1.9813189923577699E-2</v>
      </c>
      <c r="O17" s="282">
        <f>IF(C17&lt;$B$16,N17/F17,N17/($B$7*H17))</f>
        <v>4.5662100456621009E-2</v>
      </c>
      <c r="P17" s="338">
        <f>IF(C17&lt;$C$8,$B$7*$C$7, C17-J17)</f>
        <v>0.39340000000000008</v>
      </c>
      <c r="Q17" s="341">
        <f>(C12-P12)/E12</f>
        <v>1.9999999999999997E-2</v>
      </c>
      <c r="R17" s="310"/>
      <c r="S17" s="289">
        <f t="shared" si="4"/>
        <v>0.39626379847155402</v>
      </c>
      <c r="T17" s="345">
        <f t="shared" si="5"/>
        <v>1.9813189923577702E-2</v>
      </c>
      <c r="U17" s="353"/>
      <c r="V17" s="367">
        <f t="shared" si="7"/>
        <v>0.70659999999999989</v>
      </c>
      <c r="W17" s="267">
        <f t="shared" si="13"/>
        <v>0.70000000000000018</v>
      </c>
      <c r="X17" s="150"/>
      <c r="Y17" s="184"/>
      <c r="Z17" s="184"/>
      <c r="AA17" s="127"/>
      <c r="AB17" s="125"/>
      <c r="AH17" s="212"/>
      <c r="AI17" s="22"/>
      <c r="AJ17" s="71"/>
      <c r="AM17" s="4"/>
      <c r="AN17" s="7"/>
      <c r="AP17" s="4"/>
      <c r="AQ17" s="2"/>
      <c r="AT17" s="4"/>
      <c r="AW17" s="4"/>
    </row>
    <row r="18" spans="2:51" x14ac:dyDescent="0.25">
      <c r="B18" s="348">
        <f>B16+1</f>
        <v>36</v>
      </c>
      <c r="C18" s="350">
        <f>IF(B18&lt;$B$16,B18*#REF!,(B18-(B18-$B$16))*$C$7)</f>
        <v>0.70000000000000007</v>
      </c>
      <c r="D18" s="29"/>
      <c r="E18" s="253">
        <f t="shared" si="0"/>
        <v>16</v>
      </c>
      <c r="F18" s="256">
        <f t="shared" si="1"/>
        <v>0.44444444444444442</v>
      </c>
      <c r="G18" s="261">
        <f t="shared" ref="G18:G24" si="14">IF(E18&gt;0,$B$7/B18,100%)</f>
        <v>0.55555555555555558</v>
      </c>
      <c r="H18" s="234">
        <f t="shared" si="9"/>
        <v>1</v>
      </c>
      <c r="I18" s="20"/>
      <c r="J18" s="242">
        <f>E18*$J$7</f>
        <v>0.32</v>
      </c>
      <c r="K18" s="232">
        <f>J18/E18</f>
        <v>0.02</v>
      </c>
      <c r="L18" s="21"/>
      <c r="M18" s="317">
        <f t="shared" ref="M18:M19" si="15">E18/B18*C18</f>
        <v>0.31111111111111112</v>
      </c>
      <c r="N18" s="342">
        <f t="shared" ref="N18:N37" si="16">IF(B18&lt;$B$16,M18/E18,M18/E18)</f>
        <v>1.9444444444444445E-2</v>
      </c>
      <c r="O18" s="25"/>
      <c r="P18" s="264">
        <f t="shared" ref="P18:P37" si="17">IF(C18&lt;$C$8,$B$7*$C$7, C18-J18)</f>
        <v>0.38000000000000006</v>
      </c>
      <c r="Q18" s="340">
        <f>(C13-P13)/E13</f>
        <v>0.02</v>
      </c>
      <c r="R18" s="150"/>
      <c r="S18" s="301">
        <f t="shared" si="4"/>
        <v>0.38888888888888895</v>
      </c>
      <c r="T18" s="345">
        <f t="shared" si="5"/>
        <v>1.9444444444444448E-2</v>
      </c>
      <c r="U18" s="354"/>
      <c r="V18" s="367">
        <f t="shared" si="7"/>
        <v>0.72</v>
      </c>
      <c r="W18" s="267">
        <f t="shared" si="13"/>
        <v>0.70000000000000007</v>
      </c>
      <c r="X18" s="354"/>
      <c r="Y18" s="183">
        <f>J18/E18</f>
        <v>0.02</v>
      </c>
      <c r="Z18" s="185">
        <f>M18/E18</f>
        <v>1.9444444444444445E-2</v>
      </c>
      <c r="AA18" s="162">
        <f>-J18+M18</f>
        <v>-8.8888888888888906E-3</v>
      </c>
      <c r="AB18" s="165">
        <f t="shared" ref="AB18:AB37" si="18">((Z18/$C$7)-1)</f>
        <v>-2.777777777777779E-2</v>
      </c>
      <c r="AH18" s="24"/>
      <c r="AI18" s="24"/>
      <c r="AL18">
        <f>+$AL$11</f>
        <v>20.329999999999998</v>
      </c>
      <c r="AM18" s="4">
        <f>AL18/B18</f>
        <v>0.56472222222222213</v>
      </c>
      <c r="AN18" s="7">
        <f t="shared" ref="AN18:AN33" si="19">AR18+AP18</f>
        <v>0</v>
      </c>
      <c r="AP18" s="4"/>
      <c r="AQ18" s="2">
        <f xml:space="preserve"> $E$7*M18</f>
        <v>10577.777777777777</v>
      </c>
      <c r="AT18" s="4">
        <f>E18*$AY$6</f>
        <v>0.32</v>
      </c>
      <c r="AW18" s="4">
        <f>AL18*$AY$6</f>
        <v>0.40659999999999996</v>
      </c>
      <c r="AY18">
        <v>42.33</v>
      </c>
    </row>
    <row r="19" spans="2:51" x14ac:dyDescent="0.25">
      <c r="B19" s="329">
        <f t="shared" ref="B19:B23" si="20">B18+1</f>
        <v>37</v>
      </c>
      <c r="C19" s="328">
        <f>IF(B19&lt;$B$16,B19*J8,(B19-(B19-$B$16))*$C$7)</f>
        <v>0.70000000000000007</v>
      </c>
      <c r="D19" s="29"/>
      <c r="E19" s="253">
        <f t="shared" si="0"/>
        <v>17</v>
      </c>
      <c r="F19" s="256">
        <f t="shared" si="1"/>
        <v>0.45945945945945948</v>
      </c>
      <c r="G19" s="261">
        <f t="shared" si="14"/>
        <v>0.54054054054054057</v>
      </c>
      <c r="H19" s="234">
        <f t="shared" si="9"/>
        <v>1</v>
      </c>
      <c r="I19" s="20"/>
      <c r="J19" s="242">
        <f>E19*$J$7</f>
        <v>0.34</v>
      </c>
      <c r="K19" s="232">
        <f>J19/E19</f>
        <v>0.02</v>
      </c>
      <c r="L19" s="21"/>
      <c r="M19" s="317">
        <f t="shared" si="15"/>
        <v>0.32162162162162167</v>
      </c>
      <c r="N19" s="342">
        <f t="shared" si="16"/>
        <v>1.891891891891892E-2</v>
      </c>
      <c r="O19" s="15"/>
      <c r="P19" s="264">
        <f t="shared" si="17"/>
        <v>0.36000000000000004</v>
      </c>
      <c r="Q19" s="340">
        <f>(C14-P14)/E14</f>
        <v>0.02</v>
      </c>
      <c r="R19" s="282"/>
      <c r="S19" s="301">
        <f t="shared" si="4"/>
        <v>0.37837837837837845</v>
      </c>
      <c r="T19" s="345">
        <f t="shared" si="5"/>
        <v>1.8918918918918923E-2</v>
      </c>
      <c r="U19" s="354"/>
      <c r="V19" s="367">
        <f t="shared" si="7"/>
        <v>0.74</v>
      </c>
      <c r="W19" s="267">
        <f t="shared" si="13"/>
        <v>0.70000000000000018</v>
      </c>
      <c r="X19" s="354"/>
      <c r="Y19" s="183">
        <f>J19/E19</f>
        <v>0.02</v>
      </c>
      <c r="Z19" s="185">
        <f>M19/E19</f>
        <v>1.891891891891892E-2</v>
      </c>
      <c r="AA19" s="162">
        <f>-J19+M19</f>
        <v>-1.8378378378378357E-2</v>
      </c>
      <c r="AB19" s="165">
        <f t="shared" si="18"/>
        <v>-5.4054054054054057E-2</v>
      </c>
      <c r="AH19" s="24"/>
      <c r="AI19" s="24"/>
      <c r="AL19">
        <f>+$AL$11</f>
        <v>20.329999999999998</v>
      </c>
      <c r="AM19" s="4">
        <f>AL19/B19</f>
        <v>0.5494594594594594</v>
      </c>
      <c r="AN19" s="7">
        <f t="shared" si="19"/>
        <v>0</v>
      </c>
      <c r="AP19" s="4"/>
      <c r="AQ19" s="2">
        <f xml:space="preserve"> $E$7*M19</f>
        <v>10935.135135135137</v>
      </c>
      <c r="AT19" s="4">
        <f>E19*$AY$6</f>
        <v>0.34</v>
      </c>
    </row>
    <row r="20" spans="2:51" x14ac:dyDescent="0.25">
      <c r="B20" s="329">
        <f t="shared" si="20"/>
        <v>38</v>
      </c>
      <c r="C20" s="328">
        <f>IF(B20&lt;$B$16,B20*J9,(B20-(B20-$B$16))*$C$7)</f>
        <v>0.70000000000000007</v>
      </c>
      <c r="D20" s="29"/>
      <c r="E20" s="253">
        <f t="shared" si="0"/>
        <v>18</v>
      </c>
      <c r="F20" s="254">
        <f t="shared" si="1"/>
        <v>0.47368421052631576</v>
      </c>
      <c r="G20" s="261">
        <f t="shared" si="14"/>
        <v>0.52631578947368418</v>
      </c>
      <c r="H20" s="234">
        <f t="shared" si="9"/>
        <v>1</v>
      </c>
      <c r="I20" s="21"/>
      <c r="J20" s="242">
        <f>E20*$J$7</f>
        <v>0.36</v>
      </c>
      <c r="K20" s="232">
        <f>J20/E20</f>
        <v>0.02</v>
      </c>
      <c r="L20" s="21"/>
      <c r="M20" s="316">
        <f>F20*C20</f>
        <v>0.33157894736842108</v>
      </c>
      <c r="N20" s="342">
        <f t="shared" si="16"/>
        <v>1.8421052631578949E-2</v>
      </c>
      <c r="O20" s="15"/>
      <c r="P20" s="264">
        <f t="shared" si="17"/>
        <v>0.34000000000000008</v>
      </c>
      <c r="Q20" s="340">
        <f>(C15-P15)/E15</f>
        <v>0.02</v>
      </c>
      <c r="R20" s="282"/>
      <c r="S20" s="301">
        <f t="shared" si="4"/>
        <v>0.36842105263157898</v>
      </c>
      <c r="T20" s="345">
        <f t="shared" si="5"/>
        <v>1.8421052631578949E-2</v>
      </c>
      <c r="U20" s="354"/>
      <c r="V20" s="367">
        <f t="shared" si="7"/>
        <v>0.76</v>
      </c>
      <c r="W20" s="267">
        <f t="shared" si="13"/>
        <v>0.70000000000000007</v>
      </c>
      <c r="X20" s="354"/>
      <c r="Y20" s="183">
        <f>J20/E20</f>
        <v>0.02</v>
      </c>
      <c r="Z20" s="185">
        <f>M20/E20</f>
        <v>1.8421052631578949E-2</v>
      </c>
      <c r="AA20" s="162">
        <f>-J20+M20</f>
        <v>-2.8421052631578902E-2</v>
      </c>
      <c r="AB20" s="165">
        <f t="shared" si="18"/>
        <v>-7.8947368421052544E-2</v>
      </c>
      <c r="AH20" s="24"/>
      <c r="AI20" s="24"/>
      <c r="AL20">
        <f>+$AL$11</f>
        <v>20.329999999999998</v>
      </c>
      <c r="AM20" s="4">
        <f>AL20/B20</f>
        <v>0.53499999999999992</v>
      </c>
      <c r="AN20" s="7">
        <f t="shared" si="19"/>
        <v>0</v>
      </c>
      <c r="AP20" s="4"/>
      <c r="AQ20" s="2">
        <f xml:space="preserve"> $E$7*M20</f>
        <v>11273.684210526317</v>
      </c>
      <c r="AT20" s="4">
        <f>E20*$AY$6</f>
        <v>0.36</v>
      </c>
    </row>
    <row r="21" spans="2:51" x14ac:dyDescent="0.25">
      <c r="B21" s="329">
        <f t="shared" si="20"/>
        <v>39</v>
      </c>
      <c r="C21" s="328">
        <f>IF(B21&lt;$B$16,B21*J11,(B21-(B21-$B$16))*$C$7)</f>
        <v>0.70000000000000007</v>
      </c>
      <c r="D21" s="29"/>
      <c r="E21" s="253">
        <f t="shared" si="0"/>
        <v>19</v>
      </c>
      <c r="F21" s="254">
        <f t="shared" si="1"/>
        <v>0.48717948717948717</v>
      </c>
      <c r="G21" s="261">
        <f t="shared" si="14"/>
        <v>0.51282051282051277</v>
      </c>
      <c r="H21" s="234">
        <f t="shared" si="9"/>
        <v>1</v>
      </c>
      <c r="I21" s="21"/>
      <c r="J21" s="242">
        <f>E21*$J$7</f>
        <v>0.38</v>
      </c>
      <c r="K21" s="232">
        <f>J21/E21</f>
        <v>0.02</v>
      </c>
      <c r="L21" s="21"/>
      <c r="M21" s="316">
        <f>F21*C21</f>
        <v>0.34102564102564104</v>
      </c>
      <c r="N21" s="342">
        <f t="shared" si="16"/>
        <v>1.7948717948717951E-2</v>
      </c>
      <c r="O21" s="15"/>
      <c r="P21" s="264">
        <f t="shared" si="17"/>
        <v>0.32000000000000006</v>
      </c>
      <c r="Q21" s="340">
        <f>(C16-P16)/E16</f>
        <v>0.02</v>
      </c>
      <c r="R21" s="282"/>
      <c r="S21" s="301">
        <f t="shared" si="4"/>
        <v>0.35897435897435898</v>
      </c>
      <c r="T21" s="345">
        <f t="shared" si="5"/>
        <v>1.7948717948717947E-2</v>
      </c>
      <c r="U21" s="354"/>
      <c r="V21" s="367">
        <f t="shared" si="7"/>
        <v>0.78</v>
      </c>
      <c r="W21" s="267">
        <f t="shared" si="13"/>
        <v>0.7</v>
      </c>
      <c r="X21" s="354"/>
      <c r="Y21" s="184">
        <f>J21/E21</f>
        <v>0.02</v>
      </c>
      <c r="Z21" s="185">
        <f>M21/E21</f>
        <v>1.7948717948717951E-2</v>
      </c>
      <c r="AA21" s="162">
        <f>-J21+M21</f>
        <v>-3.8974358974358969E-2</v>
      </c>
      <c r="AB21" s="165">
        <f t="shared" si="18"/>
        <v>-0.10256410256410242</v>
      </c>
      <c r="AH21" s="24"/>
      <c r="AI21" s="24"/>
      <c r="AL21">
        <f>+$AL$11</f>
        <v>20.329999999999998</v>
      </c>
      <c r="AM21" s="4">
        <f>AL21/B21</f>
        <v>0.52128205128205118</v>
      </c>
      <c r="AN21" s="7">
        <f t="shared" si="19"/>
        <v>0</v>
      </c>
      <c r="AP21" s="4"/>
      <c r="AQ21" s="2">
        <f xml:space="preserve"> $E$7*M21</f>
        <v>11594.871794871795</v>
      </c>
      <c r="AT21" s="4">
        <f>E21*$AY$6</f>
        <v>0.38</v>
      </c>
    </row>
    <row r="22" spans="2:51" x14ac:dyDescent="0.25">
      <c r="B22" s="329">
        <f t="shared" si="20"/>
        <v>40</v>
      </c>
      <c r="C22" s="328">
        <f>IF(B22&lt;$B$16,B22*J12,(B22-(B22-$B$16))*$C$7)</f>
        <v>0.70000000000000007</v>
      </c>
      <c r="D22" s="29"/>
      <c r="E22" s="253">
        <f t="shared" si="0"/>
        <v>20</v>
      </c>
      <c r="F22" s="254">
        <f t="shared" si="1"/>
        <v>0.5</v>
      </c>
      <c r="G22" s="261">
        <f t="shared" si="14"/>
        <v>0.5</v>
      </c>
      <c r="H22" s="234">
        <f t="shared" si="9"/>
        <v>1</v>
      </c>
      <c r="I22" s="21"/>
      <c r="J22" s="242">
        <f>E22*$J$7</f>
        <v>0.4</v>
      </c>
      <c r="K22" s="232">
        <f>J22/E22</f>
        <v>0.02</v>
      </c>
      <c r="L22" s="21"/>
      <c r="M22" s="316">
        <f>F22*C22</f>
        <v>0.35000000000000003</v>
      </c>
      <c r="N22" s="342">
        <f t="shared" si="16"/>
        <v>1.7500000000000002E-2</v>
      </c>
      <c r="O22" s="15"/>
      <c r="P22" s="264">
        <f t="shared" si="17"/>
        <v>0.30000000000000004</v>
      </c>
      <c r="Q22" s="340" t="e">
        <f>(#REF!-#REF!)/#REF!</f>
        <v>#REF!</v>
      </c>
      <c r="R22" s="282"/>
      <c r="S22" s="301">
        <f t="shared" si="4"/>
        <v>0.35000000000000003</v>
      </c>
      <c r="T22" s="345">
        <f t="shared" si="5"/>
        <v>1.7500000000000002E-2</v>
      </c>
      <c r="U22" s="354"/>
      <c r="V22" s="367" t="e">
        <f t="shared" si="7"/>
        <v>#REF!</v>
      </c>
      <c r="W22" s="267">
        <f t="shared" si="13"/>
        <v>0.70000000000000007</v>
      </c>
      <c r="X22" s="354"/>
      <c r="Y22" s="183">
        <f>J22/E22</f>
        <v>0.02</v>
      </c>
      <c r="Z22" s="185">
        <f>M22/E22</f>
        <v>1.7500000000000002E-2</v>
      </c>
      <c r="AA22" s="162">
        <f>-J22+M22</f>
        <v>-4.9999999999999989E-2</v>
      </c>
      <c r="AB22" s="165">
        <f t="shared" si="18"/>
        <v>-0.12499999999999989</v>
      </c>
      <c r="AH22" s="24"/>
      <c r="AI22" s="24"/>
      <c r="AL22">
        <f>+$AL$11</f>
        <v>20.329999999999998</v>
      </c>
      <c r="AM22" s="4">
        <f>AL22/B22</f>
        <v>0.50824999999999998</v>
      </c>
      <c r="AN22" s="7">
        <f t="shared" si="19"/>
        <v>0</v>
      </c>
      <c r="AP22" s="4"/>
      <c r="AQ22" s="2">
        <f xml:space="preserve"> $E$7*M22</f>
        <v>11900.000000000002</v>
      </c>
      <c r="AT22" s="4">
        <f>E22*$AY$6</f>
        <v>0.4</v>
      </c>
    </row>
    <row r="23" spans="2:51" x14ac:dyDescent="0.25">
      <c r="B23" s="329">
        <f t="shared" si="20"/>
        <v>41</v>
      </c>
      <c r="C23" s="328">
        <f>IF(B23&lt;$B$16,B23*J13,(B23-(B23-$B$16))*$C$7)</f>
        <v>0.70000000000000007</v>
      </c>
      <c r="D23" s="29"/>
      <c r="E23" s="253">
        <f t="shared" si="0"/>
        <v>21</v>
      </c>
      <c r="F23" s="254">
        <f t="shared" si="1"/>
        <v>0.51219512195121952</v>
      </c>
      <c r="G23" s="261">
        <f t="shared" si="14"/>
        <v>0.48780487804878048</v>
      </c>
      <c r="H23" s="234">
        <f t="shared" si="9"/>
        <v>1</v>
      </c>
      <c r="I23" s="21"/>
      <c r="J23" s="242">
        <f>E23*$J$7</f>
        <v>0.42</v>
      </c>
      <c r="K23" s="232">
        <f>J23/E23</f>
        <v>0.02</v>
      </c>
      <c r="L23" s="21"/>
      <c r="M23" s="316">
        <f>F23*C23</f>
        <v>0.3585365853658537</v>
      </c>
      <c r="N23" s="342">
        <f t="shared" si="16"/>
        <v>1.7073170731707318E-2</v>
      </c>
      <c r="O23" s="15"/>
      <c r="P23" s="264">
        <f t="shared" si="17"/>
        <v>0.28000000000000008</v>
      </c>
      <c r="Q23" s="340">
        <f t="shared" ref="Q23:Q33" si="21">(C18-P18)/E18</f>
        <v>0.02</v>
      </c>
      <c r="R23" s="282"/>
      <c r="S23" s="301">
        <f t="shared" si="4"/>
        <v>0.34146341463414637</v>
      </c>
      <c r="T23" s="345">
        <f t="shared" si="5"/>
        <v>1.7073170731707318E-2</v>
      </c>
      <c r="U23" s="354"/>
      <c r="V23" s="367">
        <f t="shared" si="7"/>
        <v>0.82000000000000006</v>
      </c>
      <c r="W23" s="267">
        <f t="shared" si="13"/>
        <v>0.70000000000000007</v>
      </c>
      <c r="X23" s="354"/>
      <c r="Y23" s="183">
        <f>J23/E23</f>
        <v>0.02</v>
      </c>
      <c r="Z23" s="185">
        <f>M23/E23</f>
        <v>1.7073170731707318E-2</v>
      </c>
      <c r="AA23" s="162">
        <f>-J23+M23</f>
        <v>-6.1463414634146285E-2</v>
      </c>
      <c r="AB23" s="165">
        <f>((Z23/$C$7)-1)</f>
        <v>-0.14634146341463405</v>
      </c>
      <c r="AH23" s="24"/>
      <c r="AI23" s="24"/>
      <c r="AL23">
        <f>+$AL$11</f>
        <v>20.329999999999998</v>
      </c>
      <c r="AM23" s="4">
        <f>AL23/B23</f>
        <v>0.49585365853658531</v>
      </c>
      <c r="AN23" s="7">
        <f t="shared" si="19"/>
        <v>0</v>
      </c>
      <c r="AP23" s="4"/>
      <c r="AQ23" s="2">
        <f xml:space="preserve"> $E$7*M23</f>
        <v>12190.243902439026</v>
      </c>
      <c r="AT23" s="4">
        <f>E23*$AY$6</f>
        <v>0.42</v>
      </c>
    </row>
    <row r="24" spans="2:51" ht="14.4" thickBot="1" x14ac:dyDescent="0.3">
      <c r="B24" s="347">
        <f>B23+0.33</f>
        <v>41.33</v>
      </c>
      <c r="C24" s="349">
        <f>IF(B24&lt;$B$16,B24*J14,(B24-(B24-$B$16))*$C$7)</f>
        <v>0.70000000000000007</v>
      </c>
      <c r="D24" s="29"/>
      <c r="E24" s="253">
        <f t="shared" si="0"/>
        <v>21.33</v>
      </c>
      <c r="F24" s="254">
        <f t="shared" si="1"/>
        <v>0.51609000725864984</v>
      </c>
      <c r="G24" s="261">
        <f t="shared" si="14"/>
        <v>0.4839099927413501</v>
      </c>
      <c r="H24" s="234">
        <f t="shared" si="9"/>
        <v>1</v>
      </c>
      <c r="I24" s="21"/>
      <c r="J24" s="242">
        <f>E24*$J$7</f>
        <v>0.42659999999999998</v>
      </c>
      <c r="K24" s="232">
        <f>J24/E24</f>
        <v>0.02</v>
      </c>
      <c r="L24" s="21"/>
      <c r="M24" s="316">
        <f>F24*C24</f>
        <v>0.36126300508105491</v>
      </c>
      <c r="N24" s="342">
        <f t="shared" si="16"/>
        <v>1.6936849745947256E-2</v>
      </c>
      <c r="O24" s="15"/>
      <c r="P24" s="264">
        <f t="shared" si="17"/>
        <v>0.27340000000000009</v>
      </c>
      <c r="Q24" s="340">
        <f t="shared" si="21"/>
        <v>0.02</v>
      </c>
      <c r="R24" s="282"/>
      <c r="S24" s="301">
        <f t="shared" si="4"/>
        <v>0.3387369949189451</v>
      </c>
      <c r="T24" s="345">
        <f t="shared" si="5"/>
        <v>1.6936849745947256E-2</v>
      </c>
      <c r="U24" s="354"/>
      <c r="V24" s="367">
        <f t="shared" si="7"/>
        <v>0.8266</v>
      </c>
      <c r="W24" s="267">
        <f t="shared" si="13"/>
        <v>0.7</v>
      </c>
      <c r="X24" s="354"/>
      <c r="Y24" s="183">
        <f>J24/E24</f>
        <v>0.02</v>
      </c>
      <c r="Z24" s="185">
        <f>M24/E24</f>
        <v>1.6936849745947256E-2</v>
      </c>
      <c r="AA24" s="162">
        <f>-J24+M24</f>
        <v>-6.5336994918945068E-2</v>
      </c>
      <c r="AB24" s="165">
        <f>((Z24/$C$7)-1)</f>
        <v>-0.15315751270263722</v>
      </c>
      <c r="AH24" s="24"/>
      <c r="AI24" s="24"/>
      <c r="AM24" s="4"/>
      <c r="AN24" s="7"/>
      <c r="AP24" s="4"/>
      <c r="AQ24" s="2"/>
      <c r="AT24" s="4"/>
    </row>
    <row r="25" spans="2:51" ht="14.4" thickBot="1" x14ac:dyDescent="0.3">
      <c r="B25" s="302">
        <f>B24+1</f>
        <v>42.33</v>
      </c>
      <c r="C25" s="172">
        <f>IF(B25&lt;$B$16,B25*J15,(B25-(B25-$B$16))*$C$7)</f>
        <v>0.70000000000000007</v>
      </c>
      <c r="D25" s="29"/>
      <c r="E25" s="253">
        <f t="shared" si="0"/>
        <v>22.33</v>
      </c>
      <c r="F25" s="337">
        <f>E25/B25</f>
        <v>0.52752185211433966</v>
      </c>
      <c r="G25" s="254">
        <f>$B$7/B25</f>
        <v>0.47247814788566028</v>
      </c>
      <c r="H25" s="234">
        <f t="shared" si="9"/>
        <v>1</v>
      </c>
      <c r="I25" s="21"/>
      <c r="J25" s="290">
        <f>E25*$J$7</f>
        <v>0.4466</v>
      </c>
      <c r="K25" s="291">
        <f>J25/E25</f>
        <v>0.02</v>
      </c>
      <c r="L25" s="21"/>
      <c r="M25" s="245">
        <f>F25*C25</f>
        <v>0.36926529648003781</v>
      </c>
      <c r="N25" s="343">
        <f>IF(B25&lt;$B$16,M25/E25,M25/E25)</f>
        <v>1.6536735175998112E-2</v>
      </c>
      <c r="O25" s="15"/>
      <c r="P25" s="341">
        <f t="shared" si="17"/>
        <v>0.25340000000000007</v>
      </c>
      <c r="Q25" s="341">
        <f t="shared" si="21"/>
        <v>0.02</v>
      </c>
      <c r="R25" s="282"/>
      <c r="S25" s="289">
        <f t="shared" si="4"/>
        <v>0.3307347035199622</v>
      </c>
      <c r="T25" s="346">
        <f t="shared" si="5"/>
        <v>1.6536735175998109E-2</v>
      </c>
      <c r="U25" s="355"/>
      <c r="V25" s="367">
        <f t="shared" si="7"/>
        <v>0.84660000000000002</v>
      </c>
      <c r="W25" s="267">
        <f t="shared" si="13"/>
        <v>0.7</v>
      </c>
      <c r="X25" s="355"/>
      <c r="Y25" s="181">
        <f>J25/E25</f>
        <v>0.02</v>
      </c>
      <c r="Z25" s="186">
        <f>M25/E25</f>
        <v>1.6536735175998112E-2</v>
      </c>
      <c r="AA25" s="163">
        <f>-J25+M25</f>
        <v>-7.7334703519962189E-2</v>
      </c>
      <c r="AB25" s="166">
        <f t="shared" si="18"/>
        <v>-0.17316324120009441</v>
      </c>
      <c r="AH25" s="24"/>
      <c r="AI25" s="24"/>
      <c r="AL25">
        <f>+$AL$11</f>
        <v>20.329999999999998</v>
      </c>
      <c r="AM25" s="4">
        <f>AL25/B25</f>
        <v>0.48027403732577367</v>
      </c>
      <c r="AN25" s="7">
        <f t="shared" si="19"/>
        <v>0</v>
      </c>
      <c r="AP25" s="4"/>
      <c r="AQ25" s="2">
        <f xml:space="preserve"> $E$7*M25</f>
        <v>12555.020080321285</v>
      </c>
      <c r="AT25" s="4">
        <f>E25*$AY$6</f>
        <v>0.4466</v>
      </c>
    </row>
    <row r="26" spans="2:51" x14ac:dyDescent="0.25">
      <c r="B26" s="348">
        <f>B25+0.34</f>
        <v>42.67</v>
      </c>
      <c r="C26" s="350">
        <f>IF(B26&lt;$B$16,B26*J16,(B26-(B26-$B$16))*$C$7)</f>
        <v>0.70000000000000007</v>
      </c>
      <c r="D26" s="29"/>
      <c r="E26" s="358">
        <f t="shared" si="0"/>
        <v>22.67</v>
      </c>
      <c r="F26" s="359">
        <f>E26/B26</f>
        <v>0.53128661823295054</v>
      </c>
      <c r="G26" s="254">
        <f>$B$7/B26</f>
        <v>0.46871338176704941</v>
      </c>
      <c r="H26" s="234">
        <f t="shared" si="9"/>
        <v>1</v>
      </c>
      <c r="I26" s="21"/>
      <c r="J26" s="242">
        <f>E26*$J$7</f>
        <v>0.45340000000000003</v>
      </c>
      <c r="K26" s="232">
        <f>J26/E26</f>
        <v>0.02</v>
      </c>
      <c r="L26" s="21"/>
      <c r="M26" s="316">
        <f>F26*C26</f>
        <v>0.3719006327630654</v>
      </c>
      <c r="N26" s="342">
        <f>IF(B26&lt;$B$16,M26/E26,M26/E26)</f>
        <v>1.6404968361846729E-2</v>
      </c>
      <c r="O26" s="15"/>
      <c r="P26" s="264">
        <f t="shared" si="17"/>
        <v>0.24660000000000004</v>
      </c>
      <c r="Q26" s="340">
        <f>(C21-P21)/E21</f>
        <v>0.02</v>
      </c>
      <c r="R26" s="282"/>
      <c r="S26" s="301">
        <f t="shared" si="4"/>
        <v>0.32809936723693461</v>
      </c>
      <c r="T26" s="345">
        <f t="shared" si="5"/>
        <v>1.6404968361846732E-2</v>
      </c>
      <c r="U26" s="354"/>
      <c r="V26" s="367">
        <f t="shared" si="7"/>
        <v>0.85340000000000005</v>
      </c>
      <c r="W26" s="267">
        <f t="shared" si="13"/>
        <v>0.7</v>
      </c>
      <c r="X26" s="354"/>
      <c r="Y26" s="183">
        <f>J26/E26</f>
        <v>0.02</v>
      </c>
      <c r="Z26" s="185">
        <f>M26/E26</f>
        <v>1.6404968361846729E-2</v>
      </c>
      <c r="AA26" s="162">
        <f>-J26+M26</f>
        <v>-8.1499367236934628E-2</v>
      </c>
      <c r="AB26" s="165">
        <f t="shared" si="18"/>
        <v>-0.1797515819076636</v>
      </c>
      <c r="AH26" s="24"/>
      <c r="AI26" s="24"/>
      <c r="AL26">
        <f>+$AL$11</f>
        <v>20.329999999999998</v>
      </c>
      <c r="AM26" s="4">
        <f>AL26/B26</f>
        <v>0.47644715256620573</v>
      </c>
      <c r="AN26" s="7">
        <f t="shared" si="19"/>
        <v>0</v>
      </c>
      <c r="AP26" s="4"/>
      <c r="AQ26" s="2">
        <f xml:space="preserve"> $E$7*M26</f>
        <v>12644.621513944223</v>
      </c>
      <c r="AT26" s="4">
        <f>E26*$AY$6</f>
        <v>0.45340000000000003</v>
      </c>
    </row>
    <row r="27" spans="2:51" x14ac:dyDescent="0.25">
      <c r="B27" s="330">
        <f>B26+1</f>
        <v>43.67</v>
      </c>
      <c r="C27" s="328">
        <f>IF(B27&lt;$B$16,B27*#REF!,(B27-(B27-$B$16))*$C$7)</f>
        <v>0.70000000000000007</v>
      </c>
      <c r="D27" s="29"/>
      <c r="E27" s="253">
        <f t="shared" si="0"/>
        <v>23.67</v>
      </c>
      <c r="F27" s="254">
        <f t="shared" si="1"/>
        <v>0.54201969315319443</v>
      </c>
      <c r="G27" s="260">
        <f t="shared" ref="G27:G37" si="22">$B$7/B27</f>
        <v>0.45798030684680557</v>
      </c>
      <c r="H27" s="234">
        <f t="shared" si="9"/>
        <v>1</v>
      </c>
      <c r="I27" s="21"/>
      <c r="J27" s="242">
        <f>E27*$J$7</f>
        <v>0.47340000000000004</v>
      </c>
      <c r="K27" s="232">
        <f>J27/E27</f>
        <v>0.02</v>
      </c>
      <c r="L27" s="21"/>
      <c r="M27" s="316">
        <f>F27*C27</f>
        <v>0.37941378520723612</v>
      </c>
      <c r="N27" s="342">
        <f t="shared" si="16"/>
        <v>1.6029310739638196E-2</v>
      </c>
      <c r="O27" s="15"/>
      <c r="P27" s="264">
        <f t="shared" si="17"/>
        <v>0.22660000000000002</v>
      </c>
      <c r="Q27" s="340">
        <f t="shared" si="21"/>
        <v>0.02</v>
      </c>
      <c r="R27" s="282"/>
      <c r="S27" s="301">
        <f t="shared" si="4"/>
        <v>0.32058621479276395</v>
      </c>
      <c r="T27" s="345">
        <f t="shared" si="5"/>
        <v>1.6029310739638196E-2</v>
      </c>
      <c r="U27" s="354"/>
      <c r="V27" s="367">
        <f t="shared" si="7"/>
        <v>0.87340000000000007</v>
      </c>
      <c r="W27" s="267">
        <f t="shared" si="13"/>
        <v>0.70000000000000007</v>
      </c>
      <c r="X27" s="354"/>
      <c r="Y27" s="184">
        <f>J27/E27</f>
        <v>0.02</v>
      </c>
      <c r="Z27" s="185">
        <f>M27/E27</f>
        <v>1.6029310739638196E-2</v>
      </c>
      <c r="AA27" s="162">
        <f>-J27+M27</f>
        <v>-9.3986214792763922E-2</v>
      </c>
      <c r="AB27" s="165">
        <f t="shared" si="18"/>
        <v>-0.19853446301809019</v>
      </c>
      <c r="AH27" s="24"/>
      <c r="AI27" s="24"/>
      <c r="AL27">
        <f>+$AL$11</f>
        <v>20.329999999999998</v>
      </c>
      <c r="AM27" s="4">
        <f>AL27/B27</f>
        <v>0.46553698190977783</v>
      </c>
      <c r="AN27" s="7">
        <f t="shared" si="19"/>
        <v>0</v>
      </c>
      <c r="AP27" s="4"/>
      <c r="AQ27" s="2">
        <f xml:space="preserve"> $E$7*M27</f>
        <v>12900.068697046028</v>
      </c>
      <c r="AT27" s="4">
        <f>E27*$AY$6</f>
        <v>0.47340000000000004</v>
      </c>
    </row>
    <row r="28" spans="2:51" x14ac:dyDescent="0.25">
      <c r="B28" s="330">
        <f>B27+1</f>
        <v>44.67</v>
      </c>
      <c r="C28" s="328">
        <f>IF(B28&lt;$B$16,B28*J18,(B28-(B28-$B$16))*$C$7)</f>
        <v>0.70000000000000007</v>
      </c>
      <c r="D28" s="29"/>
      <c r="E28" s="253">
        <f t="shared" si="0"/>
        <v>24.67</v>
      </c>
      <c r="F28" s="254">
        <f t="shared" si="1"/>
        <v>0.55227221849115737</v>
      </c>
      <c r="G28" s="260">
        <f t="shared" si="22"/>
        <v>0.44772778150884263</v>
      </c>
      <c r="H28" s="234">
        <f t="shared" si="9"/>
        <v>1</v>
      </c>
      <c r="I28" s="21"/>
      <c r="J28" s="242">
        <f>E28*$J$7</f>
        <v>0.49340000000000006</v>
      </c>
      <c r="K28" s="232">
        <f>J28/E28</f>
        <v>0.02</v>
      </c>
      <c r="L28" s="21"/>
      <c r="M28" s="316">
        <f>F28*C28</f>
        <v>0.38659055294381017</v>
      </c>
      <c r="N28" s="342">
        <f t="shared" si="16"/>
        <v>1.5670472352809491E-2</v>
      </c>
      <c r="O28" s="15"/>
      <c r="P28" s="264">
        <f t="shared" si="17"/>
        <v>0.20660000000000001</v>
      </c>
      <c r="Q28" s="340">
        <f t="shared" si="21"/>
        <v>0.02</v>
      </c>
      <c r="R28" s="282"/>
      <c r="S28" s="301">
        <f t="shared" si="4"/>
        <v>0.31340944705618989</v>
      </c>
      <c r="T28" s="345">
        <f t="shared" si="5"/>
        <v>1.5670472352809495E-2</v>
      </c>
      <c r="U28" s="354"/>
      <c r="V28" s="367">
        <f t="shared" si="7"/>
        <v>0.89340000000000008</v>
      </c>
      <c r="W28" s="267">
        <f t="shared" si="13"/>
        <v>0.70000000000000007</v>
      </c>
      <c r="X28" s="354"/>
      <c r="Y28" s="183">
        <f>J28/E28</f>
        <v>0.02</v>
      </c>
      <c r="Z28" s="185">
        <f>M28/E28</f>
        <v>1.5670472352809491E-2</v>
      </c>
      <c r="AA28" s="162">
        <f>-J28+M28</f>
        <v>-0.10680944705618989</v>
      </c>
      <c r="AB28" s="165">
        <f t="shared" si="18"/>
        <v>-0.21647638235952549</v>
      </c>
      <c r="AH28" s="24"/>
      <c r="AI28" s="24"/>
      <c r="AL28">
        <f>+$AL$11</f>
        <v>20.329999999999998</v>
      </c>
      <c r="AM28" s="4">
        <f>AL28/B28</f>
        <v>0.45511528990373845</v>
      </c>
      <c r="AN28" s="7">
        <f t="shared" si="19"/>
        <v>0</v>
      </c>
      <c r="AP28" s="4"/>
      <c r="AQ28" s="2">
        <f xml:space="preserve"> $E$7*M28</f>
        <v>13144.078800089546</v>
      </c>
      <c r="AT28" s="4">
        <f>E28*$AY$6</f>
        <v>0.49340000000000006</v>
      </c>
    </row>
    <row r="29" spans="2:51" x14ac:dyDescent="0.25">
      <c r="B29" s="330">
        <f t="shared" ref="B29:B33" si="23">B28+1</f>
        <v>45.67</v>
      </c>
      <c r="C29" s="328">
        <f>IF(B29&lt;$B$16,B29*J19,(B29-(B29-$B$16))*$C$7)</f>
        <v>0.70000000000000007</v>
      </c>
      <c r="D29" s="29"/>
      <c r="E29" s="253">
        <f t="shared" si="0"/>
        <v>25.67</v>
      </c>
      <c r="F29" s="254">
        <f t="shared" si="1"/>
        <v>0.56207576089336542</v>
      </c>
      <c r="G29" s="260">
        <f t="shared" si="22"/>
        <v>0.43792423910663453</v>
      </c>
      <c r="H29" s="234">
        <f t="shared" si="9"/>
        <v>1</v>
      </c>
      <c r="I29" s="21"/>
      <c r="J29" s="242">
        <f>E29*$J$7</f>
        <v>0.51340000000000008</v>
      </c>
      <c r="K29" s="232">
        <f>J29/E29</f>
        <v>0.02</v>
      </c>
      <c r="L29" s="21"/>
      <c r="M29" s="316">
        <f>F29*C29</f>
        <v>0.3934530326253558</v>
      </c>
      <c r="N29" s="342">
        <f t="shared" si="16"/>
        <v>1.5327348368732207E-2</v>
      </c>
      <c r="O29" s="15"/>
      <c r="P29" s="264">
        <f t="shared" si="17"/>
        <v>0.18659999999999999</v>
      </c>
      <c r="Q29" s="340">
        <f t="shared" si="21"/>
        <v>0.02</v>
      </c>
      <c r="R29" s="282"/>
      <c r="S29" s="301">
        <f t="shared" si="4"/>
        <v>0.30654696737464421</v>
      </c>
      <c r="T29" s="345">
        <f t="shared" si="5"/>
        <v>1.5327348368732211E-2</v>
      </c>
      <c r="U29" s="354"/>
      <c r="V29" s="367">
        <f t="shared" si="7"/>
        <v>0.9134000000000001</v>
      </c>
      <c r="W29" s="267">
        <f t="shared" si="13"/>
        <v>0.7</v>
      </c>
      <c r="X29" s="354"/>
      <c r="Y29" s="183">
        <f>J29/E29</f>
        <v>0.02</v>
      </c>
      <c r="Z29" s="185">
        <f>M29/E29</f>
        <v>1.5327348368732207E-2</v>
      </c>
      <c r="AA29" s="162">
        <f>-J29+M29</f>
        <v>-0.11994696737464428</v>
      </c>
      <c r="AB29" s="165">
        <f t="shared" si="18"/>
        <v>-0.23363258156338962</v>
      </c>
      <c r="AH29" s="24"/>
      <c r="AI29" s="24"/>
      <c r="AL29">
        <f>+$AL$11</f>
        <v>20.329999999999998</v>
      </c>
      <c r="AM29" s="4">
        <f>AL29/B29</f>
        <v>0.44514998905189396</v>
      </c>
      <c r="AN29" s="7">
        <f t="shared" si="19"/>
        <v>0</v>
      </c>
      <c r="AP29" s="4"/>
      <c r="AQ29" s="2">
        <f xml:space="preserve"> $E$7*M29</f>
        <v>13377.403109262097</v>
      </c>
      <c r="AT29" s="4">
        <f>E29*$AY$6</f>
        <v>0.51340000000000008</v>
      </c>
    </row>
    <row r="30" spans="2:51" x14ac:dyDescent="0.25">
      <c r="B30" s="330">
        <f t="shared" si="23"/>
        <v>46.67</v>
      </c>
      <c r="C30" s="328">
        <f>IF(B30&lt;$B$16,B30*J20,(B30-(B30-$B$16))*$C$7)</f>
        <v>0.70000000000000007</v>
      </c>
      <c r="D30" s="29"/>
      <c r="E30" s="253">
        <f t="shared" si="0"/>
        <v>26.67</v>
      </c>
      <c r="F30" s="254">
        <f t="shared" si="1"/>
        <v>0.57145918148703667</v>
      </c>
      <c r="G30" s="260">
        <f t="shared" si="22"/>
        <v>0.42854081851296333</v>
      </c>
      <c r="H30" s="234">
        <f t="shared" si="9"/>
        <v>1</v>
      </c>
      <c r="I30" s="21"/>
      <c r="J30" s="242">
        <f>E30*$J$7</f>
        <v>0.5334000000000001</v>
      </c>
      <c r="K30" s="232">
        <f>J30/E30</f>
        <v>2.0000000000000004E-2</v>
      </c>
      <c r="L30" s="21"/>
      <c r="M30" s="316">
        <f>F30*C30</f>
        <v>0.40002142704092569</v>
      </c>
      <c r="N30" s="342">
        <f t="shared" si="16"/>
        <v>1.4998928647953718E-2</v>
      </c>
      <c r="O30" s="15"/>
      <c r="P30" s="264">
        <f t="shared" si="17"/>
        <v>0.16659999999999997</v>
      </c>
      <c r="Q30" s="340">
        <f t="shared" si="21"/>
        <v>0.02</v>
      </c>
      <c r="R30" s="282"/>
      <c r="S30" s="301">
        <f t="shared" si="4"/>
        <v>0.29997857295907437</v>
      </c>
      <c r="T30" s="345">
        <f t="shared" si="5"/>
        <v>1.4998928647953718E-2</v>
      </c>
      <c r="U30" s="354"/>
      <c r="V30" s="367">
        <f t="shared" si="7"/>
        <v>0.93340000000000001</v>
      </c>
      <c r="W30" s="267">
        <f t="shared" si="13"/>
        <v>0.70000000000000007</v>
      </c>
      <c r="X30" s="354"/>
      <c r="Y30" s="183">
        <f>J30/E30</f>
        <v>2.0000000000000004E-2</v>
      </c>
      <c r="Z30" s="185">
        <f>M30/E30</f>
        <v>1.4998928647953718E-2</v>
      </c>
      <c r="AA30" s="162">
        <f>-J30+M30</f>
        <v>-0.1333785729590744</v>
      </c>
      <c r="AB30" s="165">
        <f t="shared" si="18"/>
        <v>-0.25005356760231412</v>
      </c>
      <c r="AH30" s="24"/>
      <c r="AI30" s="24"/>
      <c r="AL30">
        <f>+$AL$11</f>
        <v>20.329999999999998</v>
      </c>
      <c r="AM30" s="4">
        <f>AL30/B30</f>
        <v>0.43561174201842723</v>
      </c>
      <c r="AN30" s="7">
        <f t="shared" si="19"/>
        <v>0</v>
      </c>
      <c r="AP30" s="4"/>
      <c r="AQ30" s="2">
        <f xml:space="preserve"> $E$7*M30</f>
        <v>13600.728519391474</v>
      </c>
      <c r="AT30" s="4">
        <f>E30*$AY$6</f>
        <v>0.5334000000000001</v>
      </c>
    </row>
    <row r="31" spans="2:51" x14ac:dyDescent="0.25">
      <c r="B31" s="330">
        <f t="shared" si="23"/>
        <v>47.67</v>
      </c>
      <c r="C31" s="328">
        <f>IF(B31&lt;$B$16,B31*J21,(B31-(B31-$B$16))*$C$7)</f>
        <v>0.70000000000000007</v>
      </c>
      <c r="D31" s="29"/>
      <c r="E31" s="253">
        <f t="shared" si="0"/>
        <v>27.67</v>
      </c>
      <c r="F31" s="254">
        <f t="shared" si="1"/>
        <v>0.58044891965596812</v>
      </c>
      <c r="G31" s="260">
        <f t="shared" si="22"/>
        <v>0.41955108034403188</v>
      </c>
      <c r="H31" s="234">
        <f t="shared" si="9"/>
        <v>1</v>
      </c>
      <c r="I31" s="21"/>
      <c r="J31" s="242">
        <f>E31*$J$7</f>
        <v>0.5534</v>
      </c>
      <c r="K31" s="232">
        <f>J31/E31</f>
        <v>0.02</v>
      </c>
      <c r="L31" s="21"/>
      <c r="M31" s="316">
        <f>F31*C31</f>
        <v>0.40631424375917774</v>
      </c>
      <c r="N31" s="342">
        <f t="shared" si="16"/>
        <v>1.4684287812041117E-2</v>
      </c>
      <c r="O31" s="15"/>
      <c r="P31" s="264">
        <f t="shared" si="17"/>
        <v>0.14660000000000006</v>
      </c>
      <c r="Q31" s="340">
        <f t="shared" si="21"/>
        <v>0.02</v>
      </c>
      <c r="R31" s="282"/>
      <c r="S31" s="301">
        <f t="shared" si="4"/>
        <v>0.29368575624082233</v>
      </c>
      <c r="T31" s="345">
        <f t="shared" si="5"/>
        <v>1.4684287812041116E-2</v>
      </c>
      <c r="U31" s="354"/>
      <c r="V31" s="367">
        <f t="shared" si="7"/>
        <v>0.95340000000000003</v>
      </c>
      <c r="W31" s="267">
        <f t="shared" si="13"/>
        <v>0.70000000000000007</v>
      </c>
      <c r="X31" s="354"/>
      <c r="Y31" s="183">
        <f>J31/E31</f>
        <v>0.02</v>
      </c>
      <c r="Z31" s="185">
        <f>M31/E31</f>
        <v>1.4684287812041117E-2</v>
      </c>
      <c r="AA31" s="162">
        <f>-J31+M31</f>
        <v>-0.14708575624082226</v>
      </c>
      <c r="AB31" s="165">
        <f t="shared" si="18"/>
        <v>-0.26578560939794416</v>
      </c>
      <c r="AH31" s="24"/>
      <c r="AI31" s="24"/>
      <c r="AL31">
        <f>+$AL$11</f>
        <v>20.329999999999998</v>
      </c>
      <c r="AM31" s="4">
        <f>AL31/B31</f>
        <v>0.42647367316970836</v>
      </c>
      <c r="AN31" s="7">
        <f t="shared" si="19"/>
        <v>0</v>
      </c>
      <c r="AP31" s="4"/>
      <c r="AQ31" s="2">
        <f xml:space="preserve"> $E$7*M31</f>
        <v>13814.684287812042</v>
      </c>
      <c r="AT31" s="4">
        <f>E31*$AY$6</f>
        <v>0.5534</v>
      </c>
    </row>
    <row r="32" spans="2:51" x14ac:dyDescent="0.25">
      <c r="B32" s="330">
        <f t="shared" si="23"/>
        <v>48.67</v>
      </c>
      <c r="C32" s="328">
        <f>IF(B32&lt;$B$16,B32*J22,(B32-(B32-$B$16))*$C$7)</f>
        <v>0.70000000000000007</v>
      </c>
      <c r="D32" s="29"/>
      <c r="E32" s="253">
        <f t="shared" si="0"/>
        <v>28.67</v>
      </c>
      <c r="F32" s="254">
        <f t="shared" si="1"/>
        <v>0.58906924183275122</v>
      </c>
      <c r="G32" s="260">
        <f t="shared" si="22"/>
        <v>0.41093075816724878</v>
      </c>
      <c r="H32" s="234">
        <f t="shared" si="9"/>
        <v>1</v>
      </c>
      <c r="I32" s="21"/>
      <c r="J32" s="242">
        <f>E32*$J$7</f>
        <v>0.57340000000000002</v>
      </c>
      <c r="K32" s="232">
        <f>J32/E32</f>
        <v>0.02</v>
      </c>
      <c r="L32" s="21"/>
      <c r="M32" s="316">
        <f>F32*C32</f>
        <v>0.4123484692829259</v>
      </c>
      <c r="N32" s="342">
        <f t="shared" si="16"/>
        <v>1.438257653585371E-2</v>
      </c>
      <c r="O32" s="15"/>
      <c r="P32" s="264">
        <f t="shared" si="17"/>
        <v>0.12660000000000005</v>
      </c>
      <c r="Q32" s="340">
        <f t="shared" si="21"/>
        <v>0.02</v>
      </c>
      <c r="R32" s="282"/>
      <c r="S32" s="301">
        <f t="shared" si="4"/>
        <v>0.28765153071707417</v>
      </c>
      <c r="T32" s="345">
        <f t="shared" si="5"/>
        <v>1.4382576535853708E-2</v>
      </c>
      <c r="U32" s="354"/>
      <c r="V32" s="367">
        <f t="shared" si="7"/>
        <v>0.97340000000000004</v>
      </c>
      <c r="W32" s="267">
        <f t="shared" si="13"/>
        <v>0.70000000000000007</v>
      </c>
      <c r="X32" s="354"/>
      <c r="Y32" s="183">
        <f>J32/E32</f>
        <v>0.02</v>
      </c>
      <c r="Z32" s="185">
        <f>M32/E32</f>
        <v>1.438257653585371E-2</v>
      </c>
      <c r="AA32" s="162">
        <f>-J32+M32</f>
        <v>-0.16105153071707412</v>
      </c>
      <c r="AB32" s="165">
        <f t="shared" si="18"/>
        <v>-0.28087117320731458</v>
      </c>
      <c r="AH32" s="24"/>
      <c r="AI32" s="24"/>
      <c r="AL32">
        <f>+$AL$11</f>
        <v>20.329999999999998</v>
      </c>
      <c r="AM32" s="4">
        <f>AL32/B32</f>
        <v>0.41771111567700836</v>
      </c>
      <c r="AN32" s="7">
        <f t="shared" si="19"/>
        <v>0</v>
      </c>
      <c r="AP32" s="4"/>
      <c r="AQ32" s="2">
        <f xml:space="preserve"> $E$7*M32</f>
        <v>14019.84795561948</v>
      </c>
      <c r="AT32" s="4">
        <f>E32*$AY$6</f>
        <v>0.57340000000000002</v>
      </c>
    </row>
    <row r="33" spans="2:46" x14ac:dyDescent="0.25">
      <c r="B33" s="330">
        <f t="shared" si="23"/>
        <v>49.67</v>
      </c>
      <c r="C33" s="328">
        <f>IF(B33&lt;$B$16,B33*J23,(B33-(B33-$B$16))*$C$7)</f>
        <v>0.70000000000000007</v>
      </c>
      <c r="D33" s="29"/>
      <c r="E33" s="253">
        <f t="shared" si="0"/>
        <v>29.67</v>
      </c>
      <c r="F33" s="254">
        <f t="shared" si="1"/>
        <v>0.59734246023756798</v>
      </c>
      <c r="G33" s="260">
        <f t="shared" si="22"/>
        <v>0.40265753976243202</v>
      </c>
      <c r="H33" s="234">
        <f t="shared" si="9"/>
        <v>1</v>
      </c>
      <c r="I33" s="21"/>
      <c r="J33" s="242">
        <f>E33*$J$7</f>
        <v>0.59340000000000004</v>
      </c>
      <c r="K33" s="232">
        <f>J33/E33</f>
        <v>0.02</v>
      </c>
      <c r="L33" s="21"/>
      <c r="M33" s="316">
        <f>F33*C33</f>
        <v>0.41813972216629763</v>
      </c>
      <c r="N33" s="342">
        <f t="shared" si="16"/>
        <v>1.4093013891685123E-2</v>
      </c>
      <c r="O33" s="15"/>
      <c r="P33" s="264">
        <f t="shared" si="17"/>
        <v>0.10660000000000003</v>
      </c>
      <c r="Q33" s="340">
        <f t="shared" si="21"/>
        <v>0.02</v>
      </c>
      <c r="R33" s="282"/>
      <c r="S33" s="301">
        <f t="shared" si="4"/>
        <v>0.28186027783370243</v>
      </c>
      <c r="T33" s="345">
        <f t="shared" si="5"/>
        <v>1.4093013891685121E-2</v>
      </c>
      <c r="U33" s="354"/>
      <c r="V33" s="367">
        <f t="shared" si="7"/>
        <v>0.99340000000000006</v>
      </c>
      <c r="W33" s="267">
        <f t="shared" si="13"/>
        <v>0.70000000000000007</v>
      </c>
      <c r="X33" s="354"/>
      <c r="Y33" s="184">
        <f>J33/E33</f>
        <v>0.02</v>
      </c>
      <c r="Z33" s="185">
        <f>M33/E33</f>
        <v>1.4093013891685123E-2</v>
      </c>
      <c r="AA33" s="162">
        <f>-J33+M33</f>
        <v>-0.1752602778337024</v>
      </c>
      <c r="AB33" s="165">
        <f t="shared" si="18"/>
        <v>-0.29534930541574389</v>
      </c>
      <c r="AH33" s="24"/>
      <c r="AI33" s="24"/>
      <c r="AL33">
        <f>+$AL$11</f>
        <v>20.329999999999998</v>
      </c>
      <c r="AM33" s="4">
        <f>AL33/B33</f>
        <v>0.40930138916851211</v>
      </c>
      <c r="AN33" s="7">
        <f t="shared" si="19"/>
        <v>0</v>
      </c>
      <c r="AP33" s="4"/>
      <c r="AQ33" s="2">
        <f xml:space="preserve"> $E$7*M33</f>
        <v>14216.750553654119</v>
      </c>
      <c r="AT33" s="4">
        <f>E33*$AY$6</f>
        <v>0.59340000000000004</v>
      </c>
    </row>
    <row r="34" spans="2:46" x14ac:dyDescent="0.25">
      <c r="B34" s="322">
        <v>55</v>
      </c>
      <c r="C34" s="328">
        <f>IF(B34&lt;$B$16,B34*J24,(B34-(B34-$B$16))*$C$7)</f>
        <v>0.70000000000000007</v>
      </c>
      <c r="D34" s="29"/>
      <c r="E34" s="253">
        <f t="shared" si="0"/>
        <v>35</v>
      </c>
      <c r="F34" s="254">
        <f t="shared" si="1"/>
        <v>0.63636363636363635</v>
      </c>
      <c r="G34" s="260">
        <f t="shared" si="22"/>
        <v>0.36363636363636365</v>
      </c>
      <c r="H34" s="234">
        <f t="shared" si="9"/>
        <v>1</v>
      </c>
      <c r="I34" s="21"/>
      <c r="J34" s="242">
        <f>E34*$J$7</f>
        <v>0.70000000000000007</v>
      </c>
      <c r="K34" s="232">
        <f>J34/E34</f>
        <v>0.02</v>
      </c>
      <c r="L34" s="21"/>
      <c r="M34" s="316">
        <f>F34*C34</f>
        <v>0.44545454545454549</v>
      </c>
      <c r="N34" s="342">
        <f t="shared" si="16"/>
        <v>1.2727272727272728E-2</v>
      </c>
      <c r="O34" s="15"/>
      <c r="P34" s="264">
        <f t="shared" si="17"/>
        <v>0</v>
      </c>
      <c r="Q34" s="334">
        <f t="shared" si="3"/>
        <v>0</v>
      </c>
      <c r="R34" s="282"/>
      <c r="S34" s="301">
        <f t="shared" si="4"/>
        <v>0.25454545454545457</v>
      </c>
      <c r="T34" s="345">
        <f t="shared" si="5"/>
        <v>1.2727272727272729E-2</v>
      </c>
      <c r="U34" s="354"/>
      <c r="V34" s="367">
        <f t="shared" si="7"/>
        <v>0</v>
      </c>
      <c r="W34" s="267">
        <f t="shared" si="13"/>
        <v>0.70000000000000007</v>
      </c>
      <c r="X34" s="354"/>
      <c r="Y34" s="183">
        <f>J34/E34</f>
        <v>0.02</v>
      </c>
      <c r="Z34" s="185">
        <f>M34/E34</f>
        <v>1.2727272727272728E-2</v>
      </c>
      <c r="AA34" s="162">
        <f>-J34+M34</f>
        <v>-0.25454545454545457</v>
      </c>
      <c r="AB34" s="165">
        <f t="shared" si="18"/>
        <v>-0.36363636363636365</v>
      </c>
      <c r="AH34" s="24"/>
    </row>
    <row r="35" spans="2:46" x14ac:dyDescent="0.25">
      <c r="B35" s="322">
        <v>60</v>
      </c>
      <c r="C35" s="328">
        <f>IF(B35&lt;$B$16,B35*J25,(B35-(B35-$B$16))*$C$7)</f>
        <v>0.70000000000000007</v>
      </c>
      <c r="D35" s="29"/>
      <c r="E35" s="253">
        <f t="shared" si="0"/>
        <v>40</v>
      </c>
      <c r="F35" s="254">
        <f t="shared" si="1"/>
        <v>0.66666666666666663</v>
      </c>
      <c r="G35" s="260">
        <f t="shared" si="22"/>
        <v>0.33333333333333331</v>
      </c>
      <c r="H35" s="234">
        <f t="shared" si="9"/>
        <v>1</v>
      </c>
      <c r="I35" s="21"/>
      <c r="J35" s="242">
        <f>E35*$J$7</f>
        <v>0.8</v>
      </c>
      <c r="K35" s="232">
        <f>J35/E35</f>
        <v>0.02</v>
      </c>
      <c r="L35" s="21"/>
      <c r="M35" s="316">
        <f>F35*C35</f>
        <v>0.46666666666666667</v>
      </c>
      <c r="N35" s="342">
        <f t="shared" si="16"/>
        <v>1.1666666666666667E-2</v>
      </c>
      <c r="O35" s="15"/>
      <c r="P35" s="264">
        <f t="shared" si="17"/>
        <v>-9.9999999999999978E-2</v>
      </c>
      <c r="Q35" s="334">
        <f t="shared" si="3"/>
        <v>-4.9999999999999992E-3</v>
      </c>
      <c r="R35" s="282"/>
      <c r="S35" s="301">
        <f t="shared" si="4"/>
        <v>0.23333333333333334</v>
      </c>
      <c r="T35" s="345">
        <f t="shared" si="5"/>
        <v>1.1666666666666667E-2</v>
      </c>
      <c r="U35" s="354"/>
      <c r="V35" s="367">
        <f t="shared" si="7"/>
        <v>-0.29999999999999993</v>
      </c>
      <c r="W35" s="267">
        <f t="shared" si="13"/>
        <v>0.7</v>
      </c>
      <c r="X35" s="354"/>
      <c r="Y35" s="183">
        <f>J35/E35</f>
        <v>0.02</v>
      </c>
      <c r="Z35" s="185">
        <f>M35/E35</f>
        <v>1.1666666666666667E-2</v>
      </c>
      <c r="AA35" s="162">
        <f>-J35+M35</f>
        <v>-0.33333333333333337</v>
      </c>
      <c r="AB35" s="165">
        <f t="shared" si="18"/>
        <v>-0.41666666666666663</v>
      </c>
      <c r="AH35" s="24"/>
    </row>
    <row r="36" spans="2:46" x14ac:dyDescent="0.25">
      <c r="B36" s="322">
        <v>65</v>
      </c>
      <c r="C36" s="328">
        <f>IF(B36&lt;$B$16,B36*J26,(B36-(B36-$B$16))*$C$7)</f>
        <v>0.70000000000000007</v>
      </c>
      <c r="D36" s="29"/>
      <c r="E36" s="253">
        <f t="shared" si="0"/>
        <v>45</v>
      </c>
      <c r="F36" s="254">
        <f t="shared" si="1"/>
        <v>0.69230769230769229</v>
      </c>
      <c r="G36" s="260">
        <f t="shared" si="22"/>
        <v>0.30769230769230771</v>
      </c>
      <c r="H36" s="234">
        <f t="shared" si="9"/>
        <v>1</v>
      </c>
      <c r="I36" s="21"/>
      <c r="J36" s="242">
        <f>E36*$J$7</f>
        <v>0.9</v>
      </c>
      <c r="K36" s="232">
        <f>J36/E36</f>
        <v>0.02</v>
      </c>
      <c r="L36" s="21"/>
      <c r="M36" s="316">
        <f>F36*C36</f>
        <v>0.48461538461538467</v>
      </c>
      <c r="N36" s="342">
        <f t="shared" si="16"/>
        <v>1.0769230769230771E-2</v>
      </c>
      <c r="O36" s="15"/>
      <c r="P36" s="264">
        <f t="shared" si="17"/>
        <v>-0.19999999999999996</v>
      </c>
      <c r="Q36" s="334">
        <f t="shared" si="3"/>
        <v>-9.9999999999999985E-3</v>
      </c>
      <c r="R36" s="282"/>
      <c r="S36" s="301">
        <f t="shared" si="4"/>
        <v>0.21538461538461542</v>
      </c>
      <c r="T36" s="345">
        <f t="shared" si="5"/>
        <v>1.0769230769230771E-2</v>
      </c>
      <c r="U36" s="354"/>
      <c r="V36" s="367">
        <f t="shared" si="7"/>
        <v>-0.64999999999999991</v>
      </c>
      <c r="W36" s="267">
        <f t="shared" si="13"/>
        <v>0.70000000000000007</v>
      </c>
      <c r="X36" s="354"/>
      <c r="Y36" s="183">
        <f>J36/E36</f>
        <v>0.02</v>
      </c>
      <c r="Z36" s="185">
        <f>M36/E36</f>
        <v>1.0769230769230771E-2</v>
      </c>
      <c r="AA36" s="162">
        <f>-J36+M36</f>
        <v>-0.41538461538461535</v>
      </c>
      <c r="AB36" s="165">
        <f t="shared" si="18"/>
        <v>-0.46153846153846145</v>
      </c>
      <c r="AH36" s="24"/>
    </row>
    <row r="37" spans="2:46" ht="14.4" thickBot="1" x14ac:dyDescent="0.3">
      <c r="B37" s="322">
        <v>70</v>
      </c>
      <c r="C37" s="328">
        <f>IF(B37&lt;$B$16,B37*J27,(B37-(B37-$B$16))*$C$7)</f>
        <v>0.70000000000000007</v>
      </c>
      <c r="D37" s="29"/>
      <c r="E37" s="251">
        <f t="shared" si="0"/>
        <v>50</v>
      </c>
      <c r="F37" s="257">
        <f t="shared" si="1"/>
        <v>0.7142857142857143</v>
      </c>
      <c r="G37" s="262">
        <f t="shared" si="22"/>
        <v>0.2857142857142857</v>
      </c>
      <c r="H37" s="235">
        <f t="shared" si="9"/>
        <v>1</v>
      </c>
      <c r="I37" s="21"/>
      <c r="J37" s="242">
        <f>E37*$J$7</f>
        <v>1</v>
      </c>
      <c r="K37" s="232">
        <f>J37/E37</f>
        <v>0.02</v>
      </c>
      <c r="L37" s="21"/>
      <c r="M37" s="316">
        <f>F37*C37</f>
        <v>0.50000000000000011</v>
      </c>
      <c r="N37" s="344">
        <f t="shared" si="16"/>
        <v>1.0000000000000002E-2</v>
      </c>
      <c r="O37" s="15"/>
      <c r="P37" s="264">
        <f t="shared" si="17"/>
        <v>-0.29999999999999993</v>
      </c>
      <c r="Q37" s="334">
        <f t="shared" si="3"/>
        <v>-1.4999999999999996E-2</v>
      </c>
      <c r="R37" s="282"/>
      <c r="S37" s="301">
        <f t="shared" si="4"/>
        <v>0.2</v>
      </c>
      <c r="T37" s="345">
        <f t="shared" si="5"/>
        <v>0.01</v>
      </c>
      <c r="U37" s="354"/>
      <c r="V37" s="367">
        <f t="shared" si="7"/>
        <v>-1.0499999999999998</v>
      </c>
      <c r="W37" s="267">
        <f t="shared" si="13"/>
        <v>0.70000000000000018</v>
      </c>
      <c r="X37" s="354"/>
      <c r="Y37" s="183">
        <f>J37/E37</f>
        <v>0.02</v>
      </c>
      <c r="Z37" s="185">
        <f>M37/E37</f>
        <v>1.0000000000000002E-2</v>
      </c>
      <c r="AA37" s="162">
        <f>-J37+M37</f>
        <v>-0.49999999999999989</v>
      </c>
      <c r="AB37" s="165">
        <f t="shared" si="18"/>
        <v>-0.49999999999999989</v>
      </c>
      <c r="AH37" s="24"/>
    </row>
    <row r="38" spans="2:46" x14ac:dyDescent="0.25">
      <c r="B38" s="357"/>
      <c r="C38" s="29"/>
      <c r="D38" s="29"/>
      <c r="H38" s="236"/>
      <c r="L38" s="280"/>
      <c r="AB38" s="1"/>
    </row>
    <row r="39" spans="2:46" x14ac:dyDescent="0.25">
      <c r="C39" s="280"/>
    </row>
    <row r="40" spans="2:46" x14ac:dyDescent="0.25">
      <c r="J40" s="21" t="s">
        <v>52</v>
      </c>
      <c r="K40" s="21"/>
      <c r="L40" s="21"/>
      <c r="M40" s="15" t="s">
        <v>52</v>
      </c>
      <c r="N40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92F8-7C8A-4A10-98F3-4D90164E5356}">
  <dimension ref="A1:AY40"/>
  <sheetViews>
    <sheetView rightToLeft="1" topLeftCell="A4" zoomScale="118" workbookViewId="0">
      <selection activeCell="M17" sqref="M17:M19"/>
    </sheetView>
  </sheetViews>
  <sheetFormatPr defaultRowHeight="13.85" x14ac:dyDescent="0.25"/>
  <cols>
    <col min="1" max="1" width="8.6328125" customWidth="1"/>
    <col min="2" max="2" width="8.90625" customWidth="1"/>
    <col min="3" max="3" width="7.6328125" customWidth="1"/>
    <col min="4" max="4" width="1.36328125" customWidth="1"/>
    <col min="5" max="5" width="8.36328125" style="7" customWidth="1"/>
    <col min="6" max="8" width="9.453125" customWidth="1"/>
    <col min="9" max="9" width="1.26953125" customWidth="1"/>
    <col min="10" max="10" width="8.81640625" customWidth="1"/>
    <col min="11" max="11" width="8.26953125" customWidth="1"/>
    <col min="12" max="12" width="1.81640625" customWidth="1"/>
    <col min="13" max="14" width="10.36328125" customWidth="1"/>
    <col min="15" max="15" width="1.26953125" customWidth="1"/>
    <col min="16" max="16" width="7.90625" customWidth="1"/>
    <col min="17" max="17" width="8.453125" customWidth="1"/>
    <col min="18" max="18" width="1.26953125" style="236" customWidth="1"/>
    <col min="19" max="20" width="10.54296875" customWidth="1"/>
    <col min="21" max="21" width="1.54296875" style="236" customWidth="1"/>
    <col min="22" max="22" width="8.36328125" style="236" customWidth="1"/>
    <col min="23" max="23" width="8.1796875" style="236" customWidth="1"/>
    <col min="24" max="24" width="3.36328125" style="236" customWidth="1"/>
    <col min="25" max="25" width="6.6328125" customWidth="1"/>
    <col min="26" max="26" width="10.453125" customWidth="1"/>
    <col min="27" max="27" width="8.81640625" customWidth="1"/>
    <col min="28" max="28" width="10.1796875" customWidth="1"/>
    <col min="34" max="36" width="7.453125" customWidth="1"/>
    <col min="38" max="42" width="8.81640625" customWidth="1"/>
    <col min="43" max="43" width="9.81640625" customWidth="1"/>
    <col min="44" max="44" width="9" customWidth="1"/>
    <col min="45" max="45" width="7.90625" customWidth="1"/>
    <col min="46" max="46" width="8.6328125" customWidth="1"/>
    <col min="50" max="50" width="9.6328125" bestFit="1" customWidth="1"/>
  </cols>
  <sheetData>
    <row r="1" spans="1:51" ht="17.850000000000001" x14ac:dyDescent="0.35">
      <c r="B1" s="36" t="s">
        <v>102</v>
      </c>
      <c r="G1" s="365">
        <v>0.02</v>
      </c>
      <c r="H1" s="366">
        <v>35</v>
      </c>
      <c r="J1" s="36" t="s">
        <v>45</v>
      </c>
      <c r="K1" s="36"/>
      <c r="L1" s="36"/>
    </row>
    <row r="2" spans="1:51" ht="18.45" thickBot="1" x14ac:dyDescent="0.4">
      <c r="B2" s="36" t="s">
        <v>52</v>
      </c>
      <c r="G2" s="7"/>
      <c r="K2" s="36" t="s">
        <v>97</v>
      </c>
      <c r="P2" s="36" t="s">
        <v>88</v>
      </c>
      <c r="Q2" s="36"/>
      <c r="R2" s="304"/>
      <c r="S2" s="36"/>
      <c r="T2" s="36"/>
      <c r="U2" s="304"/>
      <c r="V2" s="304" t="s">
        <v>103</v>
      </c>
      <c r="W2" s="304"/>
      <c r="X2" s="304"/>
    </row>
    <row r="3" spans="1:51" ht="18.45" thickBot="1" x14ac:dyDescent="0.4">
      <c r="B3" s="68" t="s">
        <v>38</v>
      </c>
      <c r="C3" s="319"/>
      <c r="D3" s="318"/>
      <c r="E3" s="65" t="s">
        <v>41</v>
      </c>
      <c r="F3" s="67"/>
      <c r="G3" s="228" t="s">
        <v>99</v>
      </c>
      <c r="H3" s="283"/>
      <c r="J3" s="240" t="s">
        <v>91</v>
      </c>
      <c r="K3" s="287"/>
      <c r="L3" s="272"/>
      <c r="M3" s="281" t="s">
        <v>96</v>
      </c>
      <c r="N3" s="303"/>
      <c r="O3" s="36"/>
      <c r="P3" s="240" t="s">
        <v>91</v>
      </c>
      <c r="Q3" s="268"/>
      <c r="R3" s="244"/>
      <c r="S3" s="281" t="s">
        <v>96</v>
      </c>
      <c r="T3" s="271"/>
      <c r="U3" s="351"/>
      <c r="V3" s="351"/>
      <c r="W3" s="351"/>
      <c r="X3" s="351"/>
      <c r="Y3" s="68"/>
      <c r="Z3" s="182"/>
      <c r="AA3" s="74" t="s">
        <v>37</v>
      </c>
      <c r="AB3" s="69"/>
      <c r="AH3" s="36"/>
    </row>
    <row r="4" spans="1:51" ht="14.4" thickBot="1" x14ac:dyDescent="0.3">
      <c r="A4" t="s">
        <v>52</v>
      </c>
      <c r="B4" s="320">
        <v>1</v>
      </c>
      <c r="C4" s="321">
        <v>2</v>
      </c>
      <c r="D4" s="8"/>
      <c r="E4" s="139">
        <v>3</v>
      </c>
      <c r="F4" s="142">
        <v>4</v>
      </c>
      <c r="G4" s="131">
        <v>5</v>
      </c>
      <c r="H4" s="143">
        <v>6</v>
      </c>
      <c r="I4" s="8"/>
      <c r="J4" s="157">
        <v>5</v>
      </c>
      <c r="K4" s="288">
        <v>6</v>
      </c>
      <c r="L4" s="276"/>
      <c r="M4" s="297">
        <v>7</v>
      </c>
      <c r="N4" s="292">
        <v>8</v>
      </c>
      <c r="O4" s="8"/>
      <c r="P4" s="331">
        <v>9</v>
      </c>
      <c r="Q4" s="311">
        <v>10</v>
      </c>
      <c r="R4" s="305"/>
      <c r="S4" s="300">
        <v>11</v>
      </c>
      <c r="T4" s="265">
        <v>12</v>
      </c>
      <c r="U4" s="305"/>
      <c r="V4" s="305"/>
      <c r="W4" s="305"/>
      <c r="X4" s="305"/>
      <c r="Y4" s="160">
        <v>7</v>
      </c>
      <c r="Z4" s="157">
        <v>8</v>
      </c>
      <c r="AA4" s="157">
        <v>9</v>
      </c>
      <c r="AB4" s="156">
        <v>10</v>
      </c>
      <c r="AI4" s="8"/>
    </row>
    <row r="5" spans="1:51" x14ac:dyDescent="0.25">
      <c r="B5" s="322" t="s">
        <v>5</v>
      </c>
      <c r="C5" s="323" t="s">
        <v>84</v>
      </c>
      <c r="D5" s="174"/>
      <c r="E5" s="238" t="s">
        <v>14</v>
      </c>
      <c r="F5" s="246" t="s">
        <v>26</v>
      </c>
      <c r="G5" s="258" t="s">
        <v>26</v>
      </c>
      <c r="H5" s="229" t="s">
        <v>78</v>
      </c>
      <c r="I5" s="5"/>
      <c r="J5" s="286" t="s">
        <v>93</v>
      </c>
      <c r="K5" s="273" t="s">
        <v>92</v>
      </c>
      <c r="L5" s="277"/>
      <c r="M5" s="312" t="s">
        <v>95</v>
      </c>
      <c r="N5" s="293" t="s">
        <v>84</v>
      </c>
      <c r="O5" s="92"/>
      <c r="P5" s="332" t="s">
        <v>82</v>
      </c>
      <c r="Q5" s="273" t="s">
        <v>92</v>
      </c>
      <c r="R5" s="306"/>
      <c r="S5" s="298" t="s">
        <v>7</v>
      </c>
      <c r="T5" s="293" t="s">
        <v>84</v>
      </c>
      <c r="U5" s="352"/>
      <c r="V5" s="352"/>
      <c r="W5" s="352"/>
      <c r="X5" s="352"/>
      <c r="Y5" s="179" t="s">
        <v>56</v>
      </c>
      <c r="Z5" s="146"/>
      <c r="AA5" s="126" t="s">
        <v>43</v>
      </c>
      <c r="AB5" s="168" t="s">
        <v>42</v>
      </c>
      <c r="AL5" t="s">
        <v>16</v>
      </c>
      <c r="AM5" s="5" t="s">
        <v>11</v>
      </c>
      <c r="AN5" t="s">
        <v>5</v>
      </c>
      <c r="AP5" s="1" t="s">
        <v>12</v>
      </c>
      <c r="AQ5" t="s">
        <v>6</v>
      </c>
      <c r="AR5" t="s">
        <v>9</v>
      </c>
      <c r="AS5" t="s">
        <v>3</v>
      </c>
      <c r="AT5" s="3" t="s">
        <v>4</v>
      </c>
      <c r="AV5" t="s">
        <v>3</v>
      </c>
      <c r="AW5" t="s">
        <v>2</v>
      </c>
      <c r="AX5" t="s">
        <v>1</v>
      </c>
      <c r="AY5" t="s">
        <v>5</v>
      </c>
    </row>
    <row r="6" spans="1:51" x14ac:dyDescent="0.25">
      <c r="B6" s="324" t="s">
        <v>30</v>
      </c>
      <c r="C6" s="325" t="s">
        <v>83</v>
      </c>
      <c r="D6" s="34"/>
      <c r="E6" s="247" t="s">
        <v>25</v>
      </c>
      <c r="F6" s="248" t="s">
        <v>29</v>
      </c>
      <c r="G6" s="259" t="s">
        <v>76</v>
      </c>
      <c r="H6" s="41" t="s">
        <v>79</v>
      </c>
      <c r="I6" s="5"/>
      <c r="J6" s="239" t="s">
        <v>94</v>
      </c>
      <c r="K6" s="274" t="s">
        <v>85</v>
      </c>
      <c r="L6" s="278"/>
      <c r="M6" s="313" t="s">
        <v>8</v>
      </c>
      <c r="N6" s="294" t="s">
        <v>85</v>
      </c>
      <c r="O6" s="31"/>
      <c r="P6" s="333" t="s">
        <v>98</v>
      </c>
      <c r="Q6" s="274" t="s">
        <v>85</v>
      </c>
      <c r="R6" s="307"/>
      <c r="S6" s="299" t="s">
        <v>63</v>
      </c>
      <c r="T6" s="294" t="s">
        <v>85</v>
      </c>
      <c r="U6" s="278"/>
      <c r="V6" s="278"/>
      <c r="W6" s="278"/>
      <c r="X6" s="278"/>
      <c r="Y6" s="159" t="s">
        <v>53</v>
      </c>
      <c r="Z6" s="78"/>
      <c r="AA6" s="7" t="s">
        <v>19</v>
      </c>
      <c r="AB6" s="169" t="s">
        <v>33</v>
      </c>
      <c r="AH6" s="10"/>
      <c r="AI6" s="1"/>
      <c r="AL6" s="9">
        <v>10000</v>
      </c>
      <c r="AM6" s="9" t="s">
        <v>15</v>
      </c>
      <c r="AN6" s="8" t="s">
        <v>10</v>
      </c>
      <c r="AP6" s="11" t="s">
        <v>13</v>
      </c>
      <c r="AQ6" s="11" t="s">
        <v>8</v>
      </c>
      <c r="AY6" s="1">
        <v>0.02</v>
      </c>
    </row>
    <row r="7" spans="1:51" x14ac:dyDescent="0.25">
      <c r="B7" s="326">
        <v>20.329999999999998</v>
      </c>
      <c r="C7" s="327">
        <v>0.02</v>
      </c>
      <c r="D7" s="34"/>
      <c r="E7" s="249">
        <v>34000</v>
      </c>
      <c r="F7" s="250" t="s">
        <v>15</v>
      </c>
      <c r="G7" s="230" t="s">
        <v>15</v>
      </c>
      <c r="H7" s="284" t="s">
        <v>80</v>
      </c>
      <c r="I7" s="9"/>
      <c r="J7" s="285">
        <v>0.02</v>
      </c>
      <c r="K7" s="275" t="s">
        <v>86</v>
      </c>
      <c r="L7" s="279"/>
      <c r="M7" s="314" t="s">
        <v>28</v>
      </c>
      <c r="N7" s="295" t="s">
        <v>86</v>
      </c>
      <c r="O7" s="8"/>
      <c r="P7" s="263">
        <v>0.02</v>
      </c>
      <c r="Q7" s="275" t="s">
        <v>86</v>
      </c>
      <c r="R7" s="308"/>
      <c r="S7" s="300" t="s">
        <v>28</v>
      </c>
      <c r="T7" s="295" t="s">
        <v>86</v>
      </c>
      <c r="U7" s="279"/>
      <c r="V7" s="279"/>
      <c r="W7" s="279"/>
      <c r="X7" s="279"/>
      <c r="Y7" s="160" t="s">
        <v>55</v>
      </c>
      <c r="Z7" s="131" t="s">
        <v>28</v>
      </c>
      <c r="AA7" s="11" t="s">
        <v>35</v>
      </c>
      <c r="AB7" s="170" t="s">
        <v>34</v>
      </c>
      <c r="AH7" s="10"/>
      <c r="AI7" s="10"/>
      <c r="AL7" s="9"/>
      <c r="AM7" s="9"/>
      <c r="AN7" s="8"/>
      <c r="AP7" s="11"/>
      <c r="AQ7" s="11"/>
      <c r="AY7" s="1"/>
    </row>
    <row r="8" spans="1:51" x14ac:dyDescent="0.25">
      <c r="B8" s="326" t="s">
        <v>57</v>
      </c>
      <c r="C8" s="339">
        <v>0.7</v>
      </c>
      <c r="D8" s="55"/>
      <c r="E8" s="251"/>
      <c r="F8" s="252" t="s">
        <v>32</v>
      </c>
      <c r="G8" s="231" t="s">
        <v>77</v>
      </c>
      <c r="H8" s="237" t="s">
        <v>81</v>
      </c>
      <c r="I8" s="75"/>
      <c r="J8" s="243" t="s">
        <v>90</v>
      </c>
      <c r="K8" s="252" t="s">
        <v>87</v>
      </c>
      <c r="L8" s="269"/>
      <c r="M8" s="315" t="s">
        <v>49</v>
      </c>
      <c r="N8" s="43" t="s">
        <v>89</v>
      </c>
      <c r="O8" s="43"/>
      <c r="P8" s="43" t="s">
        <v>100</v>
      </c>
      <c r="Q8" s="43" t="s">
        <v>101</v>
      </c>
      <c r="R8" s="309"/>
      <c r="S8" s="252" t="s">
        <v>49</v>
      </c>
      <c r="T8" s="309"/>
      <c r="U8" s="309"/>
      <c r="V8" s="309"/>
      <c r="W8" s="309"/>
      <c r="X8" s="309"/>
      <c r="Y8" s="180" t="s">
        <v>54</v>
      </c>
      <c r="Z8" s="123" t="s">
        <v>23</v>
      </c>
      <c r="AA8" s="26" t="s">
        <v>44</v>
      </c>
      <c r="AB8" s="123" t="s">
        <v>58</v>
      </c>
      <c r="AH8" s="19"/>
      <c r="AI8" s="10"/>
      <c r="AL8" s="33">
        <v>20.329999999999998</v>
      </c>
      <c r="AM8" s="9"/>
      <c r="AN8" s="8"/>
      <c r="AP8" s="11"/>
      <c r="AQ8" s="11"/>
      <c r="AY8" s="1"/>
    </row>
    <row r="9" spans="1:51" x14ac:dyDescent="0.25">
      <c r="B9" s="322">
        <v>20.329999999999998</v>
      </c>
      <c r="C9" s="328">
        <f>IF(B9&lt;$H$1,B9*$C$7,(B9-(B9-$H$1))*$C$7)</f>
        <v>0.40659999999999996</v>
      </c>
      <c r="D9" s="55"/>
      <c r="E9" s="253">
        <f t="shared" ref="E9:E37" si="0">IF(B9&gt;$B$7,B9-$B$7,0)</f>
        <v>0</v>
      </c>
      <c r="F9" s="254">
        <f t="shared" ref="F9:F16" si="1">E9/B9</f>
        <v>0</v>
      </c>
      <c r="G9" s="260">
        <f>IF(E9&gt;0,$B$7/B9,100%)</f>
        <v>1</v>
      </c>
      <c r="H9" s="234">
        <f>G9+F9</f>
        <v>1</v>
      </c>
      <c r="I9" s="75"/>
      <c r="J9" s="242">
        <f>E9*$J$7</f>
        <v>0</v>
      </c>
      <c r="K9" s="232">
        <f>IF(J9=0,0,J9/E9)</f>
        <v>0</v>
      </c>
      <c r="L9" s="21"/>
      <c r="M9" s="316">
        <f t="shared" ref="M9:M16" si="2">F9*C9</f>
        <v>0</v>
      </c>
      <c r="N9" s="296">
        <f>IF(AND(B9&lt;$B$16,M9&gt;0),M9/E9,M9/($B$7*G9))</f>
        <v>0</v>
      </c>
      <c r="O9" s="15"/>
      <c r="P9" s="264">
        <f>IF(C9&lt;$C$8,$B$7*$C$7,$C$8-F9)</f>
        <v>0.40659999999999996</v>
      </c>
      <c r="Q9" s="334">
        <f t="shared" ref="Q9:Q37" si="3">P9/$B$7</f>
        <v>0.02</v>
      </c>
      <c r="R9" s="282"/>
      <c r="S9" s="301">
        <f t="shared" ref="S9:S16" si="4">C9*G9</f>
        <v>0.40659999999999996</v>
      </c>
      <c r="T9" s="267">
        <f t="shared" ref="T9:T37" si="5">S9/$B$7</f>
        <v>0.02</v>
      </c>
      <c r="U9" s="150"/>
      <c r="V9" s="367">
        <f>Q9*B9</f>
        <v>0.40659999999999996</v>
      </c>
      <c r="W9" s="267">
        <f>B9*T9</f>
        <v>0.40659999999999996</v>
      </c>
      <c r="X9" s="150"/>
      <c r="Y9" s="183" t="e">
        <f>J9/E9</f>
        <v>#DIV/0!</v>
      </c>
      <c r="Z9" s="183" t="e">
        <f>M9/E9</f>
        <v>#DIV/0!</v>
      </c>
      <c r="AA9" s="122">
        <f>J9-M9</f>
        <v>0</v>
      </c>
      <c r="AB9" s="124" t="e">
        <f t="shared" ref="AB9:AB16" si="6">((Z9/$C$7)-1)*-1</f>
        <v>#DIV/0!</v>
      </c>
      <c r="AH9" s="19"/>
      <c r="AI9" s="10"/>
      <c r="AL9" s="33"/>
      <c r="AM9" s="9"/>
      <c r="AN9" s="8"/>
      <c r="AP9" s="11"/>
      <c r="AQ9" s="11"/>
      <c r="AY9" s="1"/>
    </row>
    <row r="10" spans="1:51" x14ac:dyDescent="0.25">
      <c r="B10" s="322">
        <v>25.33</v>
      </c>
      <c r="C10" s="328">
        <f>IF(B10&lt;$H$1,B10*$C$7,(B10-(B10-$H$1))*$C$7)</f>
        <v>0.50659999999999994</v>
      </c>
      <c r="D10" s="55"/>
      <c r="E10" s="253">
        <f t="shared" si="0"/>
        <v>5</v>
      </c>
      <c r="F10" s="254">
        <f t="shared" si="1"/>
        <v>0.19739439399921044</v>
      </c>
      <c r="G10" s="260">
        <f>IF(E10&gt;0,$B$7/B10,100%)</f>
        <v>0.80260560600078956</v>
      </c>
      <c r="H10" s="234">
        <f>G10+F10</f>
        <v>1</v>
      </c>
      <c r="I10" s="75"/>
      <c r="J10" s="242">
        <f>E10*$J$7</f>
        <v>0.1</v>
      </c>
      <c r="K10" s="232">
        <f>IF(J10=0,0,J10/E10)</f>
        <v>0.02</v>
      </c>
      <c r="L10" s="21"/>
      <c r="M10" s="316">
        <f>F10*C10</f>
        <v>9.9999999999999992E-2</v>
      </c>
      <c r="N10" s="296">
        <f>IF(AND(B10&lt;$B$16,M10&gt;0),M10/E10,M10/($B$7*G10))</f>
        <v>1.9999999999999997E-2</v>
      </c>
      <c r="O10" s="15"/>
      <c r="P10" s="264">
        <f>IF(C10&lt;$C$8,$B$7*$C$7,$C$8-F10)</f>
        <v>0.40659999999999996</v>
      </c>
      <c r="Q10" s="334">
        <f t="shared" si="3"/>
        <v>0.02</v>
      </c>
      <c r="R10" s="282"/>
      <c r="S10" s="301">
        <f>C10*G10</f>
        <v>0.40659999999999996</v>
      </c>
      <c r="T10" s="267">
        <f t="shared" si="5"/>
        <v>0.02</v>
      </c>
      <c r="U10" s="150"/>
      <c r="V10" s="367">
        <f t="shared" ref="V10:V37" si="7">Q10*B10</f>
        <v>0.50659999999999994</v>
      </c>
      <c r="W10" s="267">
        <f t="shared" ref="W10:W13" si="8">B10*T10</f>
        <v>0.50659999999999994</v>
      </c>
      <c r="X10" s="150"/>
      <c r="Y10" s="183"/>
      <c r="Z10" s="183"/>
      <c r="AA10" s="122"/>
      <c r="AB10" s="124"/>
      <c r="AH10" s="19"/>
      <c r="AI10" s="10"/>
      <c r="AL10" s="33"/>
      <c r="AM10" s="9"/>
      <c r="AN10" s="8"/>
      <c r="AP10" s="11"/>
      <c r="AQ10" s="11"/>
      <c r="AY10" s="1"/>
    </row>
    <row r="11" spans="1:51" x14ac:dyDescent="0.25">
      <c r="B11" s="322">
        <v>30.33</v>
      </c>
      <c r="C11" s="328">
        <f>IF(B11&lt;$B$16,B11*$C$7,(B11-(B11-$B$16))*$C$7)</f>
        <v>0.60660000000000003</v>
      </c>
      <c r="D11" s="15"/>
      <c r="E11" s="253">
        <f t="shared" si="0"/>
        <v>10</v>
      </c>
      <c r="F11" s="254">
        <f t="shared" si="1"/>
        <v>0.32970656116056712</v>
      </c>
      <c r="G11" s="260">
        <f>IF(E11&gt;0,$B$7/B11,100%)</f>
        <v>0.67029343883943293</v>
      </c>
      <c r="H11" s="234">
        <f t="shared" ref="H11:H37" si="9">G11+F11</f>
        <v>1</v>
      </c>
      <c r="I11" s="21"/>
      <c r="J11" s="360">
        <f>E11*$J$7</f>
        <v>0.2</v>
      </c>
      <c r="K11" s="232">
        <f>J11/E11</f>
        <v>0.02</v>
      </c>
      <c r="L11" s="21"/>
      <c r="M11" s="316">
        <f>F11*C11</f>
        <v>0.20000000000000004</v>
      </c>
      <c r="N11" s="296">
        <f>IF(AND(B11&lt;$B$16,M11&gt;0),M11/E11,M11/($B$7*G11))</f>
        <v>2.0000000000000004E-2</v>
      </c>
      <c r="O11" s="15"/>
      <c r="P11" s="264">
        <f>IF(C11&lt;$C$8,$B$7*$C$7,$C$8-F11)</f>
        <v>0.40659999999999996</v>
      </c>
      <c r="Q11" s="334">
        <f t="shared" si="3"/>
        <v>0.02</v>
      </c>
      <c r="R11" s="282"/>
      <c r="S11" s="301">
        <f>C11*G11</f>
        <v>0.40660000000000002</v>
      </c>
      <c r="T11" s="267">
        <f t="shared" si="5"/>
        <v>2.0000000000000004E-2</v>
      </c>
      <c r="U11" s="150"/>
      <c r="V11" s="367">
        <f t="shared" si="7"/>
        <v>0.60660000000000003</v>
      </c>
      <c r="W11" s="267">
        <f t="shared" si="8"/>
        <v>0.60660000000000014</v>
      </c>
      <c r="X11" s="150"/>
      <c r="Y11" s="183">
        <f>J11/E11</f>
        <v>0.02</v>
      </c>
      <c r="Z11" s="183">
        <f>M11/E11</f>
        <v>2.0000000000000004E-2</v>
      </c>
      <c r="AA11" s="122">
        <f>J11-M11</f>
        <v>0</v>
      </c>
      <c r="AB11" s="124">
        <f t="shared" si="6"/>
        <v>-2.2204460492503131E-16</v>
      </c>
      <c r="AH11" s="22"/>
      <c r="AI11" s="22"/>
      <c r="AL11">
        <v>20.329999999999998</v>
      </c>
      <c r="AM11" s="4">
        <f>AL11/B11</f>
        <v>0.67029343883943293</v>
      </c>
      <c r="AN11" s="7">
        <f>AR11+AP11</f>
        <v>0</v>
      </c>
      <c r="AP11" s="4"/>
      <c r="AQ11" s="2">
        <f xml:space="preserve"> $E$7*M11</f>
        <v>6800.0000000000009</v>
      </c>
      <c r="AS11" s="5">
        <f>E7*M11</f>
        <v>6800.0000000000009</v>
      </c>
      <c r="AV11" s="5">
        <f>AL6*AW11</f>
        <v>4065.9999999999995</v>
      </c>
      <c r="AW11" s="4">
        <f>AL11*$AY$6</f>
        <v>0.40659999999999996</v>
      </c>
      <c r="AY11">
        <v>30</v>
      </c>
    </row>
    <row r="12" spans="1:51" x14ac:dyDescent="0.25">
      <c r="B12" s="329">
        <f>B11+1</f>
        <v>31.33</v>
      </c>
      <c r="C12" s="328">
        <f>IF(B12&lt;$B$16,B12*$C$7,(B12-(B12-$B$16))*$C$7)</f>
        <v>0.62659999999999993</v>
      </c>
      <c r="D12" s="15"/>
      <c r="E12" s="253">
        <f t="shared" si="0"/>
        <v>11</v>
      </c>
      <c r="F12" s="254">
        <f t="shared" si="1"/>
        <v>0.35110118097669968</v>
      </c>
      <c r="G12" s="260">
        <f>IF(E12&gt;0,$B$7/B12,100%)</f>
        <v>0.64889881902330038</v>
      </c>
      <c r="H12" s="234">
        <f t="shared" si="9"/>
        <v>1</v>
      </c>
      <c r="I12" s="21"/>
      <c r="J12" s="360">
        <f>E12*$J$7</f>
        <v>0.22</v>
      </c>
      <c r="K12" s="232">
        <f>J12/E12</f>
        <v>0.02</v>
      </c>
      <c r="L12" s="21"/>
      <c r="M12" s="316">
        <f>F12*C12</f>
        <v>0.22</v>
      </c>
      <c r="N12" s="296">
        <f>IF(AND(B12&lt;$B$16,M12&gt;0),M12/E12,M12/($B$7*G12))</f>
        <v>0.02</v>
      </c>
      <c r="O12" s="15"/>
      <c r="P12" s="264">
        <f>IF(C12&lt;$C$8,$B$7*$C$7,$C$8-F12)</f>
        <v>0.40659999999999996</v>
      </c>
      <c r="Q12" s="334">
        <f t="shared" si="3"/>
        <v>0.02</v>
      </c>
      <c r="R12" s="282"/>
      <c r="S12" s="301">
        <f>C12*G12</f>
        <v>0.40659999999999996</v>
      </c>
      <c r="T12" s="267">
        <f t="shared" si="5"/>
        <v>0.02</v>
      </c>
      <c r="U12" s="150"/>
      <c r="V12" s="367">
        <f t="shared" si="7"/>
        <v>0.62659999999999993</v>
      </c>
      <c r="W12" s="267">
        <f t="shared" si="8"/>
        <v>0.62659999999999993</v>
      </c>
      <c r="X12" s="150"/>
      <c r="Y12" s="183">
        <f>J12/E12</f>
        <v>0.02</v>
      </c>
      <c r="Z12" s="183">
        <f>M12/E12</f>
        <v>0.02</v>
      </c>
      <c r="AA12" s="122">
        <f>J12-M12</f>
        <v>0</v>
      </c>
      <c r="AB12" s="124">
        <f t="shared" si="6"/>
        <v>0</v>
      </c>
      <c r="AH12" s="22"/>
      <c r="AI12" s="22"/>
      <c r="AL12">
        <f>+$AL$11</f>
        <v>20.329999999999998</v>
      </c>
      <c r="AM12" s="4">
        <f>AL12/B12</f>
        <v>0.64889881902330038</v>
      </c>
      <c r="AN12" s="7">
        <f>AR12+AP12</f>
        <v>1.9999999999999962E-2</v>
      </c>
      <c r="AP12" s="4">
        <f>M12-M11</f>
        <v>1.9999999999999962E-2</v>
      </c>
      <c r="AQ12" s="2">
        <f xml:space="preserve"> $E$7*M12</f>
        <v>7480</v>
      </c>
      <c r="AT12" s="4">
        <f>E12*$AY$6</f>
        <v>0.22</v>
      </c>
      <c r="AV12" s="5">
        <f t="shared" ref="AV12:AV14" si="10">AW11*AW12</f>
        <v>0.16532355999999998</v>
      </c>
      <c r="AW12" s="4">
        <f>AL12*$AY$6</f>
        <v>0.40659999999999996</v>
      </c>
      <c r="AY12">
        <v>31</v>
      </c>
    </row>
    <row r="13" spans="1:51" x14ac:dyDescent="0.25">
      <c r="B13" s="329">
        <f>B12+1</f>
        <v>32.33</v>
      </c>
      <c r="C13" s="328">
        <f>IF(B13&lt;$B$16,B13*$C$7,(B13-(B13-$B$16))*$C$7)</f>
        <v>0.64659999999999995</v>
      </c>
      <c r="D13" s="15"/>
      <c r="E13" s="253">
        <f t="shared" si="0"/>
        <v>12</v>
      </c>
      <c r="F13" s="254">
        <f t="shared" si="1"/>
        <v>0.3711722858026601</v>
      </c>
      <c r="G13" s="260">
        <f>IF(E13&gt;0,$B$7/B13,100%)</f>
        <v>0.62882771419733996</v>
      </c>
      <c r="H13" s="234">
        <f t="shared" si="9"/>
        <v>1</v>
      </c>
      <c r="I13" s="21"/>
      <c r="J13" s="242">
        <f>E13*$J$7</f>
        <v>0.24</v>
      </c>
      <c r="K13" s="232">
        <f>J13/E13</f>
        <v>0.02</v>
      </c>
      <c r="L13" s="21"/>
      <c r="M13" s="316">
        <f t="shared" si="2"/>
        <v>0.24</v>
      </c>
      <c r="N13" s="296">
        <f>IF(AND(B13&lt;$B$16,M13&gt;0),M13/E13,M13/($B$7*G13))</f>
        <v>0.02</v>
      </c>
      <c r="O13" s="15"/>
      <c r="P13" s="264">
        <f t="shared" ref="P13:P15" si="11">IF(C13&lt;$C$8,$B$7*$C$7,$C$8-F13)</f>
        <v>0.40659999999999996</v>
      </c>
      <c r="Q13" s="340">
        <f t="shared" si="3"/>
        <v>0.02</v>
      </c>
      <c r="R13" s="282"/>
      <c r="S13" s="301">
        <f t="shared" si="4"/>
        <v>0.40659999999999996</v>
      </c>
      <c r="T13" s="267">
        <f t="shared" si="5"/>
        <v>0.02</v>
      </c>
      <c r="U13" s="150"/>
      <c r="V13" s="367">
        <f t="shared" si="7"/>
        <v>0.64659999999999995</v>
      </c>
      <c r="W13" s="267">
        <f t="shared" si="8"/>
        <v>0.64659999999999995</v>
      </c>
      <c r="X13" s="150"/>
      <c r="Y13" s="183">
        <f>J13/E13</f>
        <v>0.02</v>
      </c>
      <c r="Z13" s="183">
        <f>M13/E13</f>
        <v>0.02</v>
      </c>
      <c r="AA13" s="122">
        <f>J13-M13</f>
        <v>0</v>
      </c>
      <c r="AB13" s="124">
        <f t="shared" si="6"/>
        <v>0</v>
      </c>
      <c r="AH13" s="22"/>
      <c r="AI13" s="22"/>
      <c r="AL13">
        <f>+$AL$11</f>
        <v>20.329999999999998</v>
      </c>
      <c r="AM13" s="4">
        <f>AL13/B13</f>
        <v>0.62882771419733996</v>
      </c>
      <c r="AN13" s="7">
        <f>AR13+AP13</f>
        <v>1.999999999999999E-2</v>
      </c>
      <c r="AP13" s="4">
        <f>M13-M12</f>
        <v>1.999999999999999E-2</v>
      </c>
      <c r="AQ13" s="2">
        <f xml:space="preserve"> $E$7*M13</f>
        <v>8160</v>
      </c>
      <c r="AT13" s="4">
        <f>E13*$AY$6</f>
        <v>0.24</v>
      </c>
      <c r="AV13" s="5">
        <f t="shared" si="10"/>
        <v>0.16532355999999998</v>
      </c>
      <c r="AW13" s="4">
        <f>AL13*$AY$6</f>
        <v>0.40659999999999996</v>
      </c>
      <c r="AY13">
        <v>35</v>
      </c>
    </row>
    <row r="14" spans="1:51" x14ac:dyDescent="0.25">
      <c r="B14" s="329">
        <f t="shared" ref="B14" si="12">B13+1</f>
        <v>33.33</v>
      </c>
      <c r="C14" s="328">
        <f>IF(B14&lt;$B$16,B14*$C$7,(B14-(B14-$B$16))*$C$7)</f>
        <v>0.66659999999999997</v>
      </c>
      <c r="D14" s="15"/>
      <c r="E14" s="253">
        <f t="shared" si="0"/>
        <v>13</v>
      </c>
      <c r="F14" s="254">
        <f t="shared" si="1"/>
        <v>0.39003900390039004</v>
      </c>
      <c r="G14" s="260">
        <f>IF(E14&gt;0,$B$7/B14,100%)</f>
        <v>0.60996099609960996</v>
      </c>
      <c r="H14" s="234">
        <f t="shared" si="9"/>
        <v>1</v>
      </c>
      <c r="I14" s="21"/>
      <c r="J14" s="242">
        <f>E14*$J$7</f>
        <v>0.26</v>
      </c>
      <c r="K14" s="232">
        <f>J14/E14</f>
        <v>0.02</v>
      </c>
      <c r="L14" s="21"/>
      <c r="M14" s="316">
        <f t="shared" si="2"/>
        <v>0.26</v>
      </c>
      <c r="N14" s="296">
        <f>IF(AND(B14&lt;$B$16,M14&gt;0),M14/E14,M14/($B$7*G14))</f>
        <v>0.02</v>
      </c>
      <c r="O14" s="15"/>
      <c r="P14" s="264">
        <f t="shared" si="11"/>
        <v>0.40659999999999996</v>
      </c>
      <c r="Q14" s="334">
        <f t="shared" si="3"/>
        <v>0.02</v>
      </c>
      <c r="R14" s="282"/>
      <c r="S14" s="301">
        <f t="shared" si="4"/>
        <v>0.40659999999999996</v>
      </c>
      <c r="T14" s="267">
        <f t="shared" si="5"/>
        <v>0.02</v>
      </c>
      <c r="U14" s="150"/>
      <c r="V14" s="367">
        <f t="shared" si="7"/>
        <v>0.66659999999999997</v>
      </c>
      <c r="W14" s="267">
        <f t="shared" ref="W14:W41" si="13">S14+M14</f>
        <v>0.66659999999999997</v>
      </c>
      <c r="X14" s="150"/>
      <c r="Y14" s="183">
        <f>J14/E14</f>
        <v>0.02</v>
      </c>
      <c r="Z14" s="183">
        <f>M14/E14</f>
        <v>0.02</v>
      </c>
      <c r="AA14" s="122">
        <f>J14-M14</f>
        <v>0</v>
      </c>
      <c r="AB14" s="124">
        <f t="shared" si="6"/>
        <v>0</v>
      </c>
      <c r="AH14" s="23"/>
      <c r="AI14" s="23"/>
      <c r="AL14">
        <f>+$AL$11</f>
        <v>20.329999999999998</v>
      </c>
      <c r="AM14" s="4">
        <f>AL14/B14</f>
        <v>0.60996099609960996</v>
      </c>
      <c r="AN14" s="7">
        <f>AR14+AP14</f>
        <v>2.0000000000000018E-2</v>
      </c>
      <c r="AP14" s="4">
        <f>M14-M13</f>
        <v>2.0000000000000018E-2</v>
      </c>
      <c r="AQ14" s="2">
        <f xml:space="preserve"> $E$7*M14</f>
        <v>8840</v>
      </c>
      <c r="AT14" s="4">
        <f>E14*$AY$6</f>
        <v>0.26</v>
      </c>
      <c r="AV14" s="5">
        <f t="shared" si="10"/>
        <v>0.16532355999999998</v>
      </c>
      <c r="AW14" s="4">
        <f>AL14*$AY$6</f>
        <v>0.40659999999999996</v>
      </c>
      <c r="AY14">
        <v>36</v>
      </c>
    </row>
    <row r="15" spans="1:51" ht="14.4" thickBot="1" x14ac:dyDescent="0.3">
      <c r="B15" s="329">
        <f>B14+1</f>
        <v>34.33</v>
      </c>
      <c r="C15" s="328">
        <f>IF(B15&lt;$B$16,B15*$C$7,(B15-(B15-$B$16))*$C$7)</f>
        <v>0.68659999999999999</v>
      </c>
      <c r="D15" s="15"/>
      <c r="E15" s="253">
        <f t="shared" si="0"/>
        <v>14</v>
      </c>
      <c r="F15" s="254">
        <f t="shared" si="1"/>
        <v>0.40780658316341395</v>
      </c>
      <c r="G15" s="260">
        <f>IF(E15&gt;0,$B$7/B15,100%)</f>
        <v>0.59219341683658611</v>
      </c>
      <c r="H15" s="234">
        <f t="shared" si="9"/>
        <v>1</v>
      </c>
      <c r="I15" s="21"/>
      <c r="J15" s="242">
        <f>E15*$J$7</f>
        <v>0.28000000000000003</v>
      </c>
      <c r="K15" s="232">
        <f>J15/E15</f>
        <v>0.02</v>
      </c>
      <c r="L15" s="21"/>
      <c r="M15" s="316">
        <f t="shared" si="2"/>
        <v>0.28000000000000003</v>
      </c>
      <c r="N15" s="296">
        <f>IF(AND(B15&lt;$B$16,M15&gt;0),M15/E15,M15/($B$7*G15))</f>
        <v>0.02</v>
      </c>
      <c r="O15" s="15"/>
      <c r="P15" s="264">
        <f t="shared" si="11"/>
        <v>0.40659999999999996</v>
      </c>
      <c r="Q15" s="334">
        <f t="shared" si="3"/>
        <v>0.02</v>
      </c>
      <c r="R15" s="282"/>
      <c r="S15" s="301">
        <f t="shared" si="4"/>
        <v>0.40660000000000002</v>
      </c>
      <c r="T15" s="267">
        <f t="shared" si="5"/>
        <v>2.0000000000000004E-2</v>
      </c>
      <c r="U15" s="150"/>
      <c r="V15" s="367">
        <f t="shared" si="7"/>
        <v>0.68659999999999999</v>
      </c>
      <c r="W15" s="267">
        <f t="shared" si="13"/>
        <v>0.6866000000000001</v>
      </c>
      <c r="X15" s="150"/>
      <c r="Y15" s="183">
        <f>J15/E15</f>
        <v>0.02</v>
      </c>
      <c r="Z15" s="183">
        <f>M15/E15</f>
        <v>0.02</v>
      </c>
      <c r="AA15" s="122">
        <f>J15-M15</f>
        <v>0</v>
      </c>
      <c r="AB15" s="124">
        <f t="shared" si="6"/>
        <v>0</v>
      </c>
      <c r="AH15" s="22"/>
      <c r="AI15" s="22"/>
      <c r="AJ15" s="71"/>
      <c r="AL15">
        <f>+$AL$11</f>
        <v>20.329999999999998</v>
      </c>
      <c r="AM15" s="4">
        <f>AL15/B15</f>
        <v>0.59219341683658611</v>
      </c>
      <c r="AN15" s="7">
        <f>AR15+AP15</f>
        <v>2.0000000000000018E-2</v>
      </c>
      <c r="AP15" s="4">
        <f>M15-M14</f>
        <v>2.0000000000000018E-2</v>
      </c>
      <c r="AQ15" s="2">
        <f xml:space="preserve"> $E$7*M15</f>
        <v>9520</v>
      </c>
      <c r="AT15" s="4">
        <f>E15*$AY$6</f>
        <v>0.28000000000000003</v>
      </c>
      <c r="AW15" s="4">
        <f>AL15*$AY$6</f>
        <v>0.40659999999999996</v>
      </c>
      <c r="AY15">
        <v>38</v>
      </c>
    </row>
    <row r="16" spans="1:51" ht="14.4" thickBot="1" x14ac:dyDescent="0.3">
      <c r="B16" s="329">
        <f>B15+1-0.33</f>
        <v>35</v>
      </c>
      <c r="C16" s="328">
        <f>IF(B16&lt;$B$16,B16*$C$7,(B16-(B16-$B$16))*$C$7)</f>
        <v>0.70000000000000007</v>
      </c>
      <c r="D16" s="32"/>
      <c r="E16" s="363">
        <f t="shared" si="0"/>
        <v>14.670000000000002</v>
      </c>
      <c r="F16" s="336">
        <f t="shared" si="1"/>
        <v>0.41914285714285721</v>
      </c>
      <c r="G16" s="337">
        <f>IF(E16&gt;0,$B$7/B16,100%)</f>
        <v>0.58085714285714285</v>
      </c>
      <c r="H16" s="337">
        <f t="shared" si="9"/>
        <v>1</v>
      </c>
      <c r="I16" s="49"/>
      <c r="J16" s="335">
        <f>E16*$J$7</f>
        <v>0.29340000000000005</v>
      </c>
      <c r="K16" s="362">
        <f>J16/E16</f>
        <v>0.02</v>
      </c>
      <c r="L16" s="21"/>
      <c r="M16" s="361">
        <f t="shared" si="2"/>
        <v>0.29340000000000005</v>
      </c>
      <c r="N16" s="289">
        <f>IF(B16&lt;$B$16,M16/E16,M16/E16)</f>
        <v>0.02</v>
      </c>
      <c r="O16" s="282">
        <f>IF(C16&lt;$B$16,N16/F16,N16/($B$7*H16))</f>
        <v>4.7716428084526238E-2</v>
      </c>
      <c r="P16" s="338">
        <f>IF(C16&lt;$C$8,$B$7*$C$7, C16-J16)</f>
        <v>0.40660000000000002</v>
      </c>
      <c r="Q16" s="341">
        <f>(C11-P11)/E11</f>
        <v>2.0000000000000007E-2</v>
      </c>
      <c r="R16" s="310"/>
      <c r="S16" s="289">
        <f t="shared" si="4"/>
        <v>0.40660000000000002</v>
      </c>
      <c r="T16" s="289">
        <f t="shared" si="5"/>
        <v>2.0000000000000004E-2</v>
      </c>
      <c r="U16" s="353"/>
      <c r="V16" s="367">
        <f t="shared" si="7"/>
        <v>0.70000000000000029</v>
      </c>
      <c r="W16" s="267">
        <f t="shared" si="13"/>
        <v>0.70000000000000007</v>
      </c>
      <c r="X16" s="353"/>
      <c r="Y16" s="184">
        <f>J16/E16</f>
        <v>0.02</v>
      </c>
      <c r="Z16" s="184">
        <f>M16/E16</f>
        <v>0.02</v>
      </c>
      <c r="AA16" s="127">
        <f>J16-M16</f>
        <v>0</v>
      </c>
      <c r="AB16" s="125">
        <f t="shared" si="6"/>
        <v>0</v>
      </c>
      <c r="AH16" s="212"/>
      <c r="AI16" s="22"/>
      <c r="AJ16" s="71"/>
      <c r="AL16">
        <f>+$AL$11</f>
        <v>20.329999999999998</v>
      </c>
      <c r="AM16" s="4"/>
      <c r="AN16" s="7"/>
      <c r="AP16" s="4"/>
      <c r="AQ16" s="2"/>
      <c r="AT16" s="4"/>
      <c r="AW16" s="4"/>
    </row>
    <row r="17" spans="2:51" x14ac:dyDescent="0.25">
      <c r="B17" s="329">
        <f>B16+0.33</f>
        <v>35.33</v>
      </c>
      <c r="C17" s="328">
        <f>IF(B17&lt;$B$16,B17*$C$7,(B17-(B17-$B$16))*$C$7)</f>
        <v>0.70000000000000007</v>
      </c>
      <c r="D17" s="29"/>
      <c r="E17" s="253">
        <f t="shared" si="0"/>
        <v>15</v>
      </c>
      <c r="F17" s="255">
        <f>E17/B17</f>
        <v>0.42456835550523636</v>
      </c>
      <c r="G17" s="261">
        <f>IF(E17&gt;0,$B$7/B17,100%)</f>
        <v>0.57543164449476358</v>
      </c>
      <c r="H17" s="234">
        <f t="shared" si="9"/>
        <v>1</v>
      </c>
      <c r="I17" s="70"/>
      <c r="J17" s="242">
        <f>E17*$J$7</f>
        <v>0.3</v>
      </c>
      <c r="K17" s="233">
        <f>J17/E17</f>
        <v>0.02</v>
      </c>
      <c r="L17" s="21"/>
      <c r="M17" s="317">
        <f>E17/B17*C17</f>
        <v>0.29719784885366546</v>
      </c>
      <c r="N17" s="342">
        <f>IF(B17&lt;$B$16,M17/E17,M17/E17)</f>
        <v>1.9813189923577699E-2</v>
      </c>
      <c r="O17" s="25"/>
      <c r="P17" s="264">
        <f>IF(C17&lt;$C$8,$B$7*$C$7, C17-J17)</f>
        <v>0.40000000000000008</v>
      </c>
      <c r="Q17" s="340">
        <f>(C12-P12)/E12</f>
        <v>1.9999999999999997E-2</v>
      </c>
      <c r="R17" s="150"/>
      <c r="S17" s="301">
        <f>C17*G17</f>
        <v>0.40280215114633455</v>
      </c>
      <c r="T17" s="345">
        <f t="shared" si="5"/>
        <v>1.9813189923577699E-2</v>
      </c>
      <c r="U17" s="354"/>
      <c r="V17" s="367">
        <f t="shared" si="7"/>
        <v>0.70659999999999989</v>
      </c>
      <c r="W17" s="267">
        <f t="shared" si="13"/>
        <v>0.7</v>
      </c>
      <c r="X17" s="354"/>
      <c r="Y17" s="183">
        <f>J17/E17</f>
        <v>0.02</v>
      </c>
      <c r="Z17" s="185">
        <f>M17/E17</f>
        <v>1.9813189923577699E-2</v>
      </c>
      <c r="AA17" s="162">
        <f>-J17+M17</f>
        <v>-2.8021511463345306E-3</v>
      </c>
      <c r="AB17" s="165">
        <f>((Z17/$C$7)-1)</f>
        <v>-9.3405038211150648E-3</v>
      </c>
      <c r="AH17" s="24"/>
      <c r="AI17" s="30"/>
      <c r="AL17" s="6">
        <f>+$AL$11</f>
        <v>20.329999999999998</v>
      </c>
      <c r="AM17" s="4">
        <f>AL17/B17</f>
        <v>0.57543164449476358</v>
      </c>
      <c r="AN17" s="12">
        <f t="shared" ref="AN17:AN33" si="14">AR17+AP17</f>
        <v>1.7197848853665432E-2</v>
      </c>
      <c r="AP17" s="13">
        <f>M17-M15</f>
        <v>1.7197848853665432E-2</v>
      </c>
      <c r="AQ17" s="14">
        <f xml:space="preserve"> $E$7*M17</f>
        <v>10104.726861024626</v>
      </c>
      <c r="AT17" s="4">
        <f>E17*$AY$6</f>
        <v>0.3</v>
      </c>
      <c r="AW17" s="4">
        <f>AL17*$AY$6</f>
        <v>0.40659999999999996</v>
      </c>
      <c r="AY17">
        <v>40</v>
      </c>
    </row>
    <row r="18" spans="2:51" x14ac:dyDescent="0.25">
      <c r="B18" s="329">
        <f>B17+1</f>
        <v>36.33</v>
      </c>
      <c r="C18" s="328">
        <f>IF(B18&lt;$B$16,B18*#REF!,(B18-(B18-$B$16))*$C$7)</f>
        <v>0.70000000000000007</v>
      </c>
      <c r="D18" s="29"/>
      <c r="E18" s="253">
        <f t="shared" si="0"/>
        <v>16</v>
      </c>
      <c r="F18" s="256">
        <f t="shared" ref="F18:F37" si="15">E18/B18</f>
        <v>0.44040737682356179</v>
      </c>
      <c r="G18" s="261">
        <f t="shared" ref="G18:G24" si="16">IF(E18&gt;0,$B$7/B18,100%)</f>
        <v>0.55959262317643821</v>
      </c>
      <c r="H18" s="234">
        <f t="shared" si="9"/>
        <v>1</v>
      </c>
      <c r="I18" s="20"/>
      <c r="J18" s="242">
        <f>E18*$J$7</f>
        <v>0.32</v>
      </c>
      <c r="K18" s="232">
        <f>J18/E18</f>
        <v>0.02</v>
      </c>
      <c r="L18" s="21"/>
      <c r="M18" s="317">
        <f t="shared" ref="M18:M19" si="17">E18/B18*C18</f>
        <v>0.30828516377649329</v>
      </c>
      <c r="N18" s="342">
        <f t="shared" ref="N18:N37" si="18">IF(B18&lt;$B$16,M18/E18,M18/E18)</f>
        <v>1.926782273603083E-2</v>
      </c>
      <c r="O18" s="25"/>
      <c r="P18" s="264">
        <f t="shared" ref="P18:P37" si="19">IF(C18&lt;$C$8,$B$7*$C$7, C18-J18)</f>
        <v>0.38000000000000006</v>
      </c>
      <c r="Q18" s="340">
        <f t="shared" ref="Q18:Q33" si="20">(C13-P13)/E13</f>
        <v>0.02</v>
      </c>
      <c r="R18" s="150"/>
      <c r="S18" s="301">
        <f t="shared" ref="S18:S37" si="21">C18*G18</f>
        <v>0.39171483622350678</v>
      </c>
      <c r="T18" s="345">
        <f t="shared" si="5"/>
        <v>1.926782273603083E-2</v>
      </c>
      <c r="U18" s="354"/>
      <c r="V18" s="367">
        <f t="shared" si="7"/>
        <v>0.72660000000000002</v>
      </c>
      <c r="W18" s="267">
        <f t="shared" si="13"/>
        <v>0.70000000000000007</v>
      </c>
      <c r="X18" s="354"/>
      <c r="Y18" s="183">
        <f>J18/E18</f>
        <v>0.02</v>
      </c>
      <c r="Z18" s="185">
        <f>M18/E18</f>
        <v>1.926782273603083E-2</v>
      </c>
      <c r="AA18" s="162">
        <f>-J18+M18</f>
        <v>-1.1714836223506719E-2</v>
      </c>
      <c r="AB18" s="165">
        <f t="shared" ref="AB18:AB37" si="22">((Z18/$C$7)-1)</f>
        <v>-3.6608863198458463E-2</v>
      </c>
      <c r="AH18" s="24"/>
      <c r="AI18" s="24"/>
      <c r="AL18">
        <f>+$AL$11</f>
        <v>20.329999999999998</v>
      </c>
      <c r="AM18" s="4">
        <f>AL18/B18</f>
        <v>0.55959262317643821</v>
      </c>
      <c r="AN18" s="7">
        <f t="shared" si="14"/>
        <v>0</v>
      </c>
      <c r="AP18" s="4"/>
      <c r="AQ18" s="2">
        <f xml:space="preserve"> $E$7*M18</f>
        <v>10481.695568400772</v>
      </c>
      <c r="AT18" s="4">
        <f>E18*$AY$6</f>
        <v>0.32</v>
      </c>
      <c r="AW18" s="4">
        <f>AL18*$AY$6</f>
        <v>0.40659999999999996</v>
      </c>
      <c r="AY18">
        <v>42.33</v>
      </c>
    </row>
    <row r="19" spans="2:51" x14ac:dyDescent="0.25">
      <c r="B19" s="329">
        <f t="shared" ref="B19:B23" si="23">B18+1</f>
        <v>37.33</v>
      </c>
      <c r="C19" s="328">
        <f>IF(B19&lt;$B$16,B19*J8,(B19-(B19-$B$16))*$C$7)</f>
        <v>0.70000000000000007</v>
      </c>
      <c r="D19" s="29"/>
      <c r="E19" s="253">
        <f t="shared" si="0"/>
        <v>17</v>
      </c>
      <c r="F19" s="256">
        <f t="shared" si="15"/>
        <v>0.45539780337530139</v>
      </c>
      <c r="G19" s="261">
        <f t="shared" si="16"/>
        <v>0.54460219662469866</v>
      </c>
      <c r="H19" s="234">
        <f t="shared" si="9"/>
        <v>1</v>
      </c>
      <c r="I19" s="20"/>
      <c r="J19" s="242">
        <f>E19*$J$7</f>
        <v>0.34</v>
      </c>
      <c r="K19" s="232">
        <f>J19/E19</f>
        <v>0.02</v>
      </c>
      <c r="L19" s="21"/>
      <c r="M19" s="317">
        <f t="shared" si="17"/>
        <v>0.31877846236271101</v>
      </c>
      <c r="N19" s="342">
        <f t="shared" si="18"/>
        <v>1.875167425663006E-2</v>
      </c>
      <c r="O19" s="15"/>
      <c r="P19" s="264">
        <f t="shared" si="19"/>
        <v>0.36000000000000004</v>
      </c>
      <c r="Q19" s="340">
        <f t="shared" si="20"/>
        <v>0.02</v>
      </c>
      <c r="R19" s="282"/>
      <c r="S19" s="301">
        <f t="shared" si="21"/>
        <v>0.38122153763728911</v>
      </c>
      <c r="T19" s="345">
        <f t="shared" si="5"/>
        <v>1.875167425663006E-2</v>
      </c>
      <c r="U19" s="354"/>
      <c r="V19" s="367">
        <f t="shared" si="7"/>
        <v>0.74659999999999993</v>
      </c>
      <c r="W19" s="267">
        <f t="shared" si="13"/>
        <v>0.70000000000000018</v>
      </c>
      <c r="X19" s="354"/>
      <c r="Y19" s="183">
        <f>J19/E19</f>
        <v>0.02</v>
      </c>
      <c r="Z19" s="185">
        <f>M19/E19</f>
        <v>1.875167425663006E-2</v>
      </c>
      <c r="AA19" s="162">
        <f>-J19+M19</f>
        <v>-2.1221537637289012E-2</v>
      </c>
      <c r="AB19" s="165">
        <f t="shared" si="22"/>
        <v>-6.2416287168497009E-2</v>
      </c>
      <c r="AH19" s="24"/>
      <c r="AI19" s="24"/>
      <c r="AL19">
        <f>+$AL$11</f>
        <v>20.329999999999998</v>
      </c>
      <c r="AM19" s="4">
        <f>AL19/B19</f>
        <v>0.54460219662469866</v>
      </c>
      <c r="AN19" s="7">
        <f t="shared" si="14"/>
        <v>0</v>
      </c>
      <c r="AP19" s="4"/>
      <c r="AQ19" s="2">
        <f xml:space="preserve"> $E$7*M19</f>
        <v>10838.467720332175</v>
      </c>
      <c r="AT19" s="4">
        <f>E19*$AY$6</f>
        <v>0.34</v>
      </c>
    </row>
    <row r="20" spans="2:51" x14ac:dyDescent="0.25">
      <c r="B20" s="329">
        <f t="shared" si="23"/>
        <v>38.33</v>
      </c>
      <c r="C20" s="328">
        <f>IF(B20&lt;$B$16,B20*J9,(B20-(B20-$B$16))*$C$7)</f>
        <v>0.70000000000000007</v>
      </c>
      <c r="D20" s="29"/>
      <c r="E20" s="253">
        <f t="shared" si="0"/>
        <v>18</v>
      </c>
      <c r="F20" s="254">
        <f t="shared" si="15"/>
        <v>0.46960605270023481</v>
      </c>
      <c r="G20" s="261">
        <f t="shared" si="16"/>
        <v>0.53039394729976519</v>
      </c>
      <c r="H20" s="234">
        <f t="shared" si="9"/>
        <v>1</v>
      </c>
      <c r="I20" s="21"/>
      <c r="J20" s="242">
        <f>E20*$J$7</f>
        <v>0.36</v>
      </c>
      <c r="K20" s="232">
        <f>J20/E20</f>
        <v>0.02</v>
      </c>
      <c r="L20" s="21"/>
      <c r="M20" s="316">
        <f>F20*C20</f>
        <v>0.32872423689016439</v>
      </c>
      <c r="N20" s="342">
        <f t="shared" si="18"/>
        <v>1.8262457605009132E-2</v>
      </c>
      <c r="O20" s="15"/>
      <c r="P20" s="264">
        <f t="shared" si="19"/>
        <v>0.34000000000000008</v>
      </c>
      <c r="Q20" s="340">
        <f t="shared" si="20"/>
        <v>0.02</v>
      </c>
      <c r="R20" s="282"/>
      <c r="S20" s="301">
        <f t="shared" si="21"/>
        <v>0.37127576310983568</v>
      </c>
      <c r="T20" s="345">
        <f t="shared" si="5"/>
        <v>1.8262457605009136E-2</v>
      </c>
      <c r="U20" s="354"/>
      <c r="V20" s="367">
        <f t="shared" si="7"/>
        <v>0.76659999999999995</v>
      </c>
      <c r="W20" s="267">
        <f t="shared" si="13"/>
        <v>0.70000000000000007</v>
      </c>
      <c r="X20" s="354"/>
      <c r="Y20" s="183">
        <f>J20/E20</f>
        <v>0.02</v>
      </c>
      <c r="Z20" s="185">
        <f>M20/E20</f>
        <v>1.8262457605009132E-2</v>
      </c>
      <c r="AA20" s="162">
        <f>-J20+M20</f>
        <v>-3.1275763109835597E-2</v>
      </c>
      <c r="AB20" s="165">
        <f t="shared" si="22"/>
        <v>-8.6877119749543374E-2</v>
      </c>
      <c r="AH20" s="24"/>
      <c r="AI20" s="24"/>
      <c r="AL20">
        <f>+$AL$11</f>
        <v>20.329999999999998</v>
      </c>
      <c r="AM20" s="4">
        <f>AL20/B20</f>
        <v>0.53039394729976519</v>
      </c>
      <c r="AN20" s="7">
        <f t="shared" si="14"/>
        <v>0</v>
      </c>
      <c r="AP20" s="4"/>
      <c r="AQ20" s="2">
        <f xml:space="preserve"> $E$7*M20</f>
        <v>11176.624054265589</v>
      </c>
      <c r="AT20" s="4">
        <f>E20*$AY$6</f>
        <v>0.36</v>
      </c>
    </row>
    <row r="21" spans="2:51" x14ac:dyDescent="0.25">
      <c r="B21" s="329">
        <f t="shared" si="23"/>
        <v>39.33</v>
      </c>
      <c r="C21" s="328">
        <f>IF(B21&lt;$B$16,B21*J11,(B21-(B21-$B$16))*$C$7)</f>
        <v>0.70000000000000007</v>
      </c>
      <c r="D21" s="29"/>
      <c r="E21" s="253">
        <f t="shared" si="0"/>
        <v>19</v>
      </c>
      <c r="F21" s="254">
        <f t="shared" si="15"/>
        <v>0.48309178743961356</v>
      </c>
      <c r="G21" s="261">
        <f t="shared" si="16"/>
        <v>0.51690821256038644</v>
      </c>
      <c r="H21" s="234">
        <f t="shared" si="9"/>
        <v>1</v>
      </c>
      <c r="I21" s="21"/>
      <c r="J21" s="242">
        <f>E21*$J$7</f>
        <v>0.38</v>
      </c>
      <c r="K21" s="232">
        <f>J21/E21</f>
        <v>0.02</v>
      </c>
      <c r="L21" s="21"/>
      <c r="M21" s="316">
        <f>F21*C21</f>
        <v>0.33816425120772953</v>
      </c>
      <c r="N21" s="342">
        <f t="shared" si="18"/>
        <v>1.7798118484617344E-2</v>
      </c>
      <c r="O21" s="15"/>
      <c r="P21" s="264">
        <f t="shared" si="19"/>
        <v>0.32000000000000006</v>
      </c>
      <c r="Q21" s="340">
        <f t="shared" si="20"/>
        <v>0.02</v>
      </c>
      <c r="R21" s="282"/>
      <c r="S21" s="301">
        <f t="shared" si="21"/>
        <v>0.36183574879227054</v>
      </c>
      <c r="T21" s="345">
        <f t="shared" si="5"/>
        <v>1.7798118484617341E-2</v>
      </c>
      <c r="U21" s="354"/>
      <c r="V21" s="367">
        <f t="shared" si="7"/>
        <v>0.78659999999999997</v>
      </c>
      <c r="W21" s="267">
        <f t="shared" si="13"/>
        <v>0.70000000000000007</v>
      </c>
      <c r="X21" s="354"/>
      <c r="Y21" s="184">
        <f>J21/E21</f>
        <v>0.02</v>
      </c>
      <c r="Z21" s="185">
        <f>M21/E21</f>
        <v>1.7798118484617344E-2</v>
      </c>
      <c r="AA21" s="162">
        <f>-J21+M21</f>
        <v>-4.1835748792270477E-2</v>
      </c>
      <c r="AB21" s="165">
        <f t="shared" si="22"/>
        <v>-0.11009407576913277</v>
      </c>
      <c r="AH21" s="24"/>
      <c r="AI21" s="24"/>
      <c r="AL21">
        <f>+$AL$11</f>
        <v>20.329999999999998</v>
      </c>
      <c r="AM21" s="4">
        <f>AL21/B21</f>
        <v>0.51690821256038644</v>
      </c>
      <c r="AN21" s="7">
        <f t="shared" si="14"/>
        <v>0</v>
      </c>
      <c r="AP21" s="4"/>
      <c r="AQ21" s="2">
        <f xml:space="preserve"> $E$7*M21</f>
        <v>11497.584541062804</v>
      </c>
      <c r="AT21" s="4">
        <f>E21*$AY$6</f>
        <v>0.38</v>
      </c>
    </row>
    <row r="22" spans="2:51" x14ac:dyDescent="0.25">
      <c r="B22" s="329">
        <f t="shared" si="23"/>
        <v>40.33</v>
      </c>
      <c r="C22" s="328">
        <f>IF(B22&lt;$B$16,B22*J12,(B22-(B22-$B$16))*$C$7)</f>
        <v>0.70000000000000007</v>
      </c>
      <c r="D22" s="29"/>
      <c r="E22" s="253">
        <f t="shared" si="0"/>
        <v>20</v>
      </c>
      <c r="F22" s="254">
        <f t="shared" si="15"/>
        <v>0.49590875278948676</v>
      </c>
      <c r="G22" s="261">
        <f t="shared" si="16"/>
        <v>0.50409124721051324</v>
      </c>
      <c r="H22" s="234">
        <f t="shared" si="9"/>
        <v>1</v>
      </c>
      <c r="I22" s="21"/>
      <c r="J22" s="242">
        <f>E22*$J$7</f>
        <v>0.4</v>
      </c>
      <c r="K22" s="232">
        <f>J22/E22</f>
        <v>0.02</v>
      </c>
      <c r="L22" s="21"/>
      <c r="M22" s="316">
        <f>F22*C22</f>
        <v>0.34713612695264079</v>
      </c>
      <c r="N22" s="342">
        <f t="shared" si="18"/>
        <v>1.735680634763204E-2</v>
      </c>
      <c r="O22" s="15"/>
      <c r="P22" s="264">
        <f t="shared" si="19"/>
        <v>0.30000000000000004</v>
      </c>
      <c r="Q22" s="340">
        <f t="shared" si="20"/>
        <v>0.02</v>
      </c>
      <c r="R22" s="282"/>
      <c r="S22" s="301">
        <f t="shared" si="21"/>
        <v>0.35286387304735928</v>
      </c>
      <c r="T22" s="345">
        <f t="shared" si="5"/>
        <v>1.7356806347632037E-2</v>
      </c>
      <c r="U22" s="354"/>
      <c r="V22" s="367">
        <f t="shared" si="7"/>
        <v>0.80659999999999998</v>
      </c>
      <c r="W22" s="267">
        <f t="shared" si="13"/>
        <v>0.70000000000000007</v>
      </c>
      <c r="X22" s="354"/>
      <c r="Y22" s="183">
        <f>J22/E22</f>
        <v>0.02</v>
      </c>
      <c r="Z22" s="185">
        <f>M22/E22</f>
        <v>1.735680634763204E-2</v>
      </c>
      <c r="AA22" s="162">
        <f>-J22+M22</f>
        <v>-5.2863873047359233E-2</v>
      </c>
      <c r="AB22" s="165">
        <f t="shared" si="22"/>
        <v>-0.13215968261839806</v>
      </c>
      <c r="AH22" s="24"/>
      <c r="AI22" s="24"/>
      <c r="AL22">
        <f>+$AL$11</f>
        <v>20.329999999999998</v>
      </c>
      <c r="AM22" s="4">
        <f>AL22/B22</f>
        <v>0.50409124721051324</v>
      </c>
      <c r="AN22" s="7">
        <f t="shared" si="14"/>
        <v>0</v>
      </c>
      <c r="AP22" s="4"/>
      <c r="AQ22" s="2">
        <f xml:space="preserve"> $E$7*M22</f>
        <v>11802.628316389786</v>
      </c>
      <c r="AT22" s="4">
        <f>E22*$AY$6</f>
        <v>0.4</v>
      </c>
    </row>
    <row r="23" spans="2:51" x14ac:dyDescent="0.25">
      <c r="B23" s="329">
        <f t="shared" si="23"/>
        <v>41.33</v>
      </c>
      <c r="C23" s="328">
        <f>IF(B23&lt;$B$16,B23*J13,(B23-(B23-$B$16))*$C$7)</f>
        <v>0.70000000000000007</v>
      </c>
      <c r="D23" s="29"/>
      <c r="E23" s="253">
        <f t="shared" si="0"/>
        <v>21</v>
      </c>
      <c r="F23" s="254">
        <f t="shared" si="15"/>
        <v>0.50810549237841762</v>
      </c>
      <c r="G23" s="261">
        <f t="shared" si="16"/>
        <v>0.49189450762158238</v>
      </c>
      <c r="H23" s="234">
        <f t="shared" si="9"/>
        <v>1</v>
      </c>
      <c r="I23" s="21"/>
      <c r="J23" s="242">
        <f>E23*$J$7</f>
        <v>0.42</v>
      </c>
      <c r="K23" s="232">
        <f>J23/E23</f>
        <v>0.02</v>
      </c>
      <c r="L23" s="21"/>
      <c r="M23" s="316">
        <f>F23*C23</f>
        <v>0.35567384466489238</v>
      </c>
      <c r="N23" s="342">
        <f t="shared" si="18"/>
        <v>1.6936849745947256E-2</v>
      </c>
      <c r="O23" s="15"/>
      <c r="P23" s="264">
        <f t="shared" si="19"/>
        <v>0.28000000000000008</v>
      </c>
      <c r="Q23" s="340">
        <f t="shared" si="20"/>
        <v>0.02</v>
      </c>
      <c r="R23" s="282"/>
      <c r="S23" s="301">
        <f t="shared" si="21"/>
        <v>0.34432615533510769</v>
      </c>
      <c r="T23" s="345">
        <f t="shared" si="5"/>
        <v>1.6936849745947256E-2</v>
      </c>
      <c r="U23" s="354"/>
      <c r="V23" s="367">
        <f t="shared" si="7"/>
        <v>0.8266</v>
      </c>
      <c r="W23" s="267">
        <f t="shared" si="13"/>
        <v>0.70000000000000007</v>
      </c>
      <c r="X23" s="354"/>
      <c r="Y23" s="183">
        <f>J23/E23</f>
        <v>0.02</v>
      </c>
      <c r="Z23" s="185">
        <f>M23/E23</f>
        <v>1.6936849745947256E-2</v>
      </c>
      <c r="AA23" s="162">
        <f>-J23+M23</f>
        <v>-6.4326155335107604E-2</v>
      </c>
      <c r="AB23" s="165">
        <f>((Z23/$C$7)-1)</f>
        <v>-0.15315751270263722</v>
      </c>
      <c r="AH23" s="24"/>
      <c r="AI23" s="24"/>
      <c r="AL23">
        <f>+$AL$11</f>
        <v>20.329999999999998</v>
      </c>
      <c r="AM23" s="4">
        <f>AL23/B23</f>
        <v>0.49189450762158238</v>
      </c>
      <c r="AN23" s="7">
        <f t="shared" si="14"/>
        <v>0</v>
      </c>
      <c r="AP23" s="4"/>
      <c r="AQ23" s="2">
        <f xml:space="preserve"> $E$7*M23</f>
        <v>12092.910718606341</v>
      </c>
      <c r="AT23" s="4">
        <f>E23*$AY$6</f>
        <v>0.42</v>
      </c>
    </row>
    <row r="24" spans="2:51" ht="14.4" thickBot="1" x14ac:dyDescent="0.3">
      <c r="B24" s="347">
        <f>B23+0.33</f>
        <v>41.66</v>
      </c>
      <c r="C24" s="349">
        <f>IF(B24&lt;$B$16,B24*J14,(B24-(B24-$B$16))*$C$7)</f>
        <v>0.70000000000000007</v>
      </c>
      <c r="D24" s="29"/>
      <c r="E24" s="253">
        <f t="shared" si="0"/>
        <v>21.33</v>
      </c>
      <c r="F24" s="254">
        <f t="shared" si="15"/>
        <v>0.51200192030724911</v>
      </c>
      <c r="G24" s="261">
        <f t="shared" si="16"/>
        <v>0.48799807969275083</v>
      </c>
      <c r="H24" s="234">
        <f t="shared" si="9"/>
        <v>1</v>
      </c>
      <c r="I24" s="21"/>
      <c r="J24" s="242">
        <f>E24*$J$7</f>
        <v>0.42659999999999998</v>
      </c>
      <c r="K24" s="232">
        <f>J24/E24</f>
        <v>0.02</v>
      </c>
      <c r="L24" s="21"/>
      <c r="M24" s="316">
        <f>F24*C24</f>
        <v>0.35840134421507441</v>
      </c>
      <c r="N24" s="342">
        <f t="shared" si="18"/>
        <v>1.6802688430148826E-2</v>
      </c>
      <c r="O24" s="15"/>
      <c r="P24" s="264">
        <f t="shared" si="19"/>
        <v>0.27340000000000009</v>
      </c>
      <c r="Q24" s="340">
        <f t="shared" si="20"/>
        <v>0.02</v>
      </c>
      <c r="R24" s="282"/>
      <c r="S24" s="301">
        <f t="shared" si="21"/>
        <v>0.3415986557849256</v>
      </c>
      <c r="T24" s="345">
        <f t="shared" si="5"/>
        <v>1.6802688430148826E-2</v>
      </c>
      <c r="U24" s="354"/>
      <c r="V24" s="367">
        <f t="shared" si="7"/>
        <v>0.83319999999999994</v>
      </c>
      <c r="W24" s="267">
        <f t="shared" si="13"/>
        <v>0.7</v>
      </c>
      <c r="X24" s="354"/>
      <c r="Y24" s="183">
        <f>J24/E24</f>
        <v>0.02</v>
      </c>
      <c r="Z24" s="185">
        <f>M24/E24</f>
        <v>1.6802688430148826E-2</v>
      </c>
      <c r="AA24" s="162">
        <f>-J24+M24</f>
        <v>-6.8198655784925566E-2</v>
      </c>
      <c r="AB24" s="165">
        <f>((Z24/$C$7)-1)</f>
        <v>-0.15986557849255867</v>
      </c>
      <c r="AH24" s="24"/>
      <c r="AI24" s="24"/>
      <c r="AM24" s="4"/>
      <c r="AN24" s="7"/>
      <c r="AP24" s="4"/>
      <c r="AQ24" s="2"/>
      <c r="AT24" s="4"/>
    </row>
    <row r="25" spans="2:51" ht="14.4" thickBot="1" x14ac:dyDescent="0.3">
      <c r="B25" s="302">
        <f>B24+1</f>
        <v>42.66</v>
      </c>
      <c r="C25" s="172">
        <f>IF(B25&lt;$B$16,B25*J15,(B25-(B25-$B$16))*$C$7)</f>
        <v>0.70000000000000007</v>
      </c>
      <c r="D25" s="29"/>
      <c r="E25" s="253">
        <f t="shared" si="0"/>
        <v>22.33</v>
      </c>
      <c r="F25" s="337">
        <f>E25/B25</f>
        <v>0.52344116268166896</v>
      </c>
      <c r="G25" s="254">
        <f>$B$7/B25</f>
        <v>0.47655883731833099</v>
      </c>
      <c r="H25" s="234">
        <f t="shared" si="9"/>
        <v>1</v>
      </c>
      <c r="I25" s="21"/>
      <c r="J25" s="290">
        <f>E25*$J$7</f>
        <v>0.4466</v>
      </c>
      <c r="K25" s="291">
        <f>J25/E25</f>
        <v>0.02</v>
      </c>
      <c r="L25" s="21"/>
      <c r="M25" s="245">
        <f>F25*C25</f>
        <v>0.36640881387716828</v>
      </c>
      <c r="N25" s="343">
        <f>IF(B25&lt;$B$16,M25/E25,M25/E25)</f>
        <v>1.6408813877168308E-2</v>
      </c>
      <c r="O25" s="15"/>
      <c r="P25" s="341">
        <f t="shared" si="19"/>
        <v>0.25340000000000007</v>
      </c>
      <c r="Q25" s="341">
        <f t="shared" si="20"/>
        <v>0.02</v>
      </c>
      <c r="R25" s="282"/>
      <c r="S25" s="289">
        <f t="shared" si="21"/>
        <v>0.33359118612283173</v>
      </c>
      <c r="T25" s="346">
        <f t="shared" si="5"/>
        <v>1.6408813877168311E-2</v>
      </c>
      <c r="U25" s="355"/>
      <c r="V25" s="367">
        <f t="shared" si="7"/>
        <v>0.85319999999999996</v>
      </c>
      <c r="W25" s="267">
        <f t="shared" si="13"/>
        <v>0.7</v>
      </c>
      <c r="X25" s="355"/>
      <c r="Y25" s="181">
        <f>J25/E25</f>
        <v>0.02</v>
      </c>
      <c r="Z25" s="186">
        <f>M25/E25</f>
        <v>1.6408813877168308E-2</v>
      </c>
      <c r="AA25" s="163">
        <f>-J25+M25</f>
        <v>-8.0191186122831715E-2</v>
      </c>
      <c r="AB25" s="166">
        <f t="shared" si="22"/>
        <v>-0.17955930614158466</v>
      </c>
      <c r="AH25" s="24"/>
      <c r="AI25" s="24"/>
      <c r="AL25">
        <f>+$AL$11</f>
        <v>20.329999999999998</v>
      </c>
      <c r="AM25" s="4">
        <f>AL25/B25</f>
        <v>0.47655883731833099</v>
      </c>
      <c r="AN25" s="7">
        <f t="shared" si="14"/>
        <v>0</v>
      </c>
      <c r="AP25" s="4"/>
      <c r="AQ25" s="2">
        <f xml:space="preserve"> $E$7*M25</f>
        <v>12457.899671823721</v>
      </c>
      <c r="AT25" s="4">
        <f>E25*$AY$6</f>
        <v>0.4466</v>
      </c>
    </row>
    <row r="26" spans="2:51" x14ac:dyDescent="0.25">
      <c r="B26" s="348">
        <f>B25+0.34</f>
        <v>43</v>
      </c>
      <c r="C26" s="350">
        <f>IF(B26&lt;$B$16,B26*J16,(B26-(B26-$B$16))*$C$7)</f>
        <v>0.70000000000000007</v>
      </c>
      <c r="D26" s="29"/>
      <c r="E26" s="358">
        <f t="shared" si="0"/>
        <v>22.67</v>
      </c>
      <c r="F26" s="359">
        <f>E26/B26</f>
        <v>0.52720930232558139</v>
      </c>
      <c r="G26" s="254">
        <f>$B$7/B26</f>
        <v>0.47279069767441856</v>
      </c>
      <c r="H26" s="234">
        <f t="shared" si="9"/>
        <v>1</v>
      </c>
      <c r="I26" s="21"/>
      <c r="J26" s="242">
        <f>E26*$J$7</f>
        <v>0.45340000000000003</v>
      </c>
      <c r="K26" s="232">
        <f>J26/E26</f>
        <v>0.02</v>
      </c>
      <c r="L26" s="21"/>
      <c r="M26" s="316">
        <f>F26*C26</f>
        <v>0.36904651162790703</v>
      </c>
      <c r="N26" s="342">
        <f>IF(B26&lt;$B$16,M26/E26,M26/E26)</f>
        <v>1.627906976744186E-2</v>
      </c>
      <c r="O26" s="15"/>
      <c r="P26" s="264">
        <f t="shared" si="19"/>
        <v>0.24660000000000004</v>
      </c>
      <c r="Q26" s="340">
        <f>(C21-P21)/E21</f>
        <v>0.02</v>
      </c>
      <c r="R26" s="282"/>
      <c r="S26" s="301">
        <f t="shared" si="21"/>
        <v>0.33095348837209304</v>
      </c>
      <c r="T26" s="345">
        <f t="shared" si="5"/>
        <v>1.6279069767441864E-2</v>
      </c>
      <c r="U26" s="354"/>
      <c r="V26" s="367">
        <f t="shared" si="7"/>
        <v>0.86</v>
      </c>
      <c r="W26" s="267">
        <f t="shared" si="13"/>
        <v>0.70000000000000007</v>
      </c>
      <c r="X26" s="354"/>
      <c r="Y26" s="183">
        <f>J26/E26</f>
        <v>0.02</v>
      </c>
      <c r="Z26" s="185">
        <f>M26/E26</f>
        <v>1.627906976744186E-2</v>
      </c>
      <c r="AA26" s="162">
        <f>-J26+M26</f>
        <v>-8.4353488372093E-2</v>
      </c>
      <c r="AB26" s="165">
        <f t="shared" si="22"/>
        <v>-0.18604651162790697</v>
      </c>
      <c r="AH26" s="24"/>
      <c r="AI26" s="24"/>
      <c r="AL26">
        <f>+$AL$11</f>
        <v>20.329999999999998</v>
      </c>
      <c r="AM26" s="4">
        <f>AL26/B26</f>
        <v>0.47279069767441856</v>
      </c>
      <c r="AN26" s="7">
        <f t="shared" si="14"/>
        <v>0</v>
      </c>
      <c r="AP26" s="4"/>
      <c r="AQ26" s="2">
        <f xml:space="preserve"> $E$7*M26</f>
        <v>12547.58139534884</v>
      </c>
      <c r="AT26" s="4">
        <f>E26*$AY$6</f>
        <v>0.45340000000000003</v>
      </c>
    </row>
    <row r="27" spans="2:51" x14ac:dyDescent="0.25">
      <c r="B27" s="330">
        <f>B26+1</f>
        <v>44</v>
      </c>
      <c r="C27" s="328">
        <f>IF(B27&lt;$B$16,B27*J17,(B27-(B27-$B$16))*$C$7)</f>
        <v>0.70000000000000007</v>
      </c>
      <c r="D27" s="29"/>
      <c r="E27" s="253">
        <f t="shared" si="0"/>
        <v>23.67</v>
      </c>
      <c r="F27" s="254">
        <f t="shared" si="15"/>
        <v>0.53795454545454546</v>
      </c>
      <c r="G27" s="260">
        <f t="shared" ref="G27:G37" si="24">$B$7/B27</f>
        <v>0.46204545454545448</v>
      </c>
      <c r="H27" s="234">
        <f t="shared" si="9"/>
        <v>1</v>
      </c>
      <c r="I27" s="21"/>
      <c r="J27" s="242">
        <f>E27*$J$7</f>
        <v>0.47340000000000004</v>
      </c>
      <c r="K27" s="232">
        <f>J27/E27</f>
        <v>0.02</v>
      </c>
      <c r="L27" s="21"/>
      <c r="M27" s="316">
        <f>F27*C27</f>
        <v>0.37656818181818186</v>
      </c>
      <c r="N27" s="342">
        <f t="shared" si="18"/>
        <v>1.5909090909090911E-2</v>
      </c>
      <c r="O27" s="15"/>
      <c r="P27" s="264">
        <f t="shared" si="19"/>
        <v>0.22660000000000002</v>
      </c>
      <c r="Q27" s="340">
        <f t="shared" si="20"/>
        <v>0.02</v>
      </c>
      <c r="R27" s="282"/>
      <c r="S27" s="301">
        <f t="shared" si="21"/>
        <v>0.32343181818181815</v>
      </c>
      <c r="T27" s="345">
        <f t="shared" si="5"/>
        <v>1.5909090909090907E-2</v>
      </c>
      <c r="U27" s="354"/>
      <c r="V27" s="367">
        <f t="shared" si="7"/>
        <v>0.88</v>
      </c>
      <c r="W27" s="267">
        <f t="shared" si="13"/>
        <v>0.7</v>
      </c>
      <c r="X27" s="354"/>
      <c r="Y27" s="184">
        <f>J27/E27</f>
        <v>0.02</v>
      </c>
      <c r="Z27" s="185">
        <f>M27/E27</f>
        <v>1.5909090909090911E-2</v>
      </c>
      <c r="AA27" s="162">
        <f>-J27+M27</f>
        <v>-9.6831818181818186E-2</v>
      </c>
      <c r="AB27" s="165">
        <f t="shared" si="22"/>
        <v>-0.20454545454545447</v>
      </c>
      <c r="AH27" s="24"/>
      <c r="AI27" s="24"/>
      <c r="AL27">
        <f>+$AL$11</f>
        <v>20.329999999999998</v>
      </c>
      <c r="AM27" s="4">
        <f>AL27/B27</f>
        <v>0.46204545454545448</v>
      </c>
      <c r="AN27" s="7">
        <f t="shared" si="14"/>
        <v>0</v>
      </c>
      <c r="AP27" s="4"/>
      <c r="AQ27" s="2">
        <f xml:space="preserve"> $E$7*M27</f>
        <v>12803.318181818184</v>
      </c>
      <c r="AT27" s="4">
        <f>E27*$AY$6</f>
        <v>0.47340000000000004</v>
      </c>
    </row>
    <row r="28" spans="2:51" x14ac:dyDescent="0.25">
      <c r="B28" s="330">
        <f>B27+1</f>
        <v>45</v>
      </c>
      <c r="C28" s="328">
        <f>IF(B28&lt;$B$16,B28*J18,(B28-(B28-$B$16))*$C$7)</f>
        <v>0.70000000000000007</v>
      </c>
      <c r="D28" s="29"/>
      <c r="E28" s="253">
        <f t="shared" si="0"/>
        <v>24.67</v>
      </c>
      <c r="F28" s="254">
        <f t="shared" si="15"/>
        <v>0.54822222222222228</v>
      </c>
      <c r="G28" s="260">
        <f t="shared" si="24"/>
        <v>0.45177777777777772</v>
      </c>
      <c r="H28" s="234">
        <f t="shared" si="9"/>
        <v>1</v>
      </c>
      <c r="I28" s="21"/>
      <c r="J28" s="242">
        <f>E28*$J$7</f>
        <v>0.49340000000000006</v>
      </c>
      <c r="K28" s="232">
        <f>J28/E28</f>
        <v>0.02</v>
      </c>
      <c r="L28" s="21"/>
      <c r="M28" s="316">
        <f>F28*C28</f>
        <v>0.38375555555555563</v>
      </c>
      <c r="N28" s="342">
        <f t="shared" si="18"/>
        <v>1.5555555555555557E-2</v>
      </c>
      <c r="O28" s="15"/>
      <c r="P28" s="264">
        <f t="shared" si="19"/>
        <v>0.20660000000000001</v>
      </c>
      <c r="Q28" s="340">
        <f t="shared" si="20"/>
        <v>0.02</v>
      </c>
      <c r="R28" s="282"/>
      <c r="S28" s="301">
        <f t="shared" si="21"/>
        <v>0.31624444444444444</v>
      </c>
      <c r="T28" s="345">
        <f t="shared" si="5"/>
        <v>1.5555555555555557E-2</v>
      </c>
      <c r="U28" s="354"/>
      <c r="V28" s="367">
        <f t="shared" si="7"/>
        <v>0.9</v>
      </c>
      <c r="W28" s="267">
        <f t="shared" si="13"/>
        <v>0.70000000000000007</v>
      </c>
      <c r="X28" s="354"/>
      <c r="Y28" s="183">
        <f>J28/E28</f>
        <v>0.02</v>
      </c>
      <c r="Z28" s="185">
        <f>M28/E28</f>
        <v>1.5555555555555557E-2</v>
      </c>
      <c r="AA28" s="162">
        <f>-J28+M28</f>
        <v>-0.10964444444444443</v>
      </c>
      <c r="AB28" s="165">
        <f t="shared" si="22"/>
        <v>-0.22222222222222221</v>
      </c>
      <c r="AH28" s="24"/>
      <c r="AI28" s="24"/>
      <c r="AL28">
        <f>+$AL$11</f>
        <v>20.329999999999998</v>
      </c>
      <c r="AM28" s="4">
        <f>AL28/B28</f>
        <v>0.45177777777777772</v>
      </c>
      <c r="AN28" s="7">
        <f t="shared" si="14"/>
        <v>0</v>
      </c>
      <c r="AP28" s="4"/>
      <c r="AQ28" s="2">
        <f xml:space="preserve"> $E$7*M28</f>
        <v>13047.688888888892</v>
      </c>
      <c r="AT28" s="4">
        <f>E28*$AY$6</f>
        <v>0.49340000000000006</v>
      </c>
    </row>
    <row r="29" spans="2:51" x14ac:dyDescent="0.25">
      <c r="B29" s="330">
        <f t="shared" ref="B29:B33" si="25">B28+1</f>
        <v>46</v>
      </c>
      <c r="C29" s="328">
        <f>IF(B29&lt;$B$16,B29*J19,(B29-(B29-$B$16))*$C$7)</f>
        <v>0.70000000000000007</v>
      </c>
      <c r="D29" s="29"/>
      <c r="E29" s="253">
        <f t="shared" si="0"/>
        <v>25.67</v>
      </c>
      <c r="F29" s="254">
        <f t="shared" si="15"/>
        <v>0.55804347826086964</v>
      </c>
      <c r="G29" s="260">
        <f t="shared" si="24"/>
        <v>0.44195652173913041</v>
      </c>
      <c r="H29" s="234">
        <f t="shared" si="9"/>
        <v>1</v>
      </c>
      <c r="I29" s="21"/>
      <c r="J29" s="242">
        <f>E29*$J$7</f>
        <v>0.51340000000000008</v>
      </c>
      <c r="K29" s="232">
        <f>J29/E29</f>
        <v>0.02</v>
      </c>
      <c r="L29" s="21"/>
      <c r="M29" s="316">
        <f>F29*C29</f>
        <v>0.39063043478260878</v>
      </c>
      <c r="N29" s="342">
        <f t="shared" si="18"/>
        <v>1.5217391304347828E-2</v>
      </c>
      <c r="O29" s="15"/>
      <c r="P29" s="264">
        <f t="shared" si="19"/>
        <v>0.18659999999999999</v>
      </c>
      <c r="Q29" s="340">
        <f t="shared" si="20"/>
        <v>0.02</v>
      </c>
      <c r="R29" s="282"/>
      <c r="S29" s="301">
        <f t="shared" si="21"/>
        <v>0.30936956521739134</v>
      </c>
      <c r="T29" s="345">
        <f t="shared" si="5"/>
        <v>1.5217391304347828E-2</v>
      </c>
      <c r="U29" s="354"/>
      <c r="V29" s="367">
        <f t="shared" si="7"/>
        <v>0.92</v>
      </c>
      <c r="W29" s="267">
        <f t="shared" si="13"/>
        <v>0.70000000000000018</v>
      </c>
      <c r="X29" s="354"/>
      <c r="Y29" s="183">
        <f>J29/E29</f>
        <v>0.02</v>
      </c>
      <c r="Z29" s="185">
        <f>M29/E29</f>
        <v>1.5217391304347828E-2</v>
      </c>
      <c r="AA29" s="162">
        <f>-J29+M29</f>
        <v>-0.1227695652173913</v>
      </c>
      <c r="AB29" s="165">
        <f t="shared" si="22"/>
        <v>-0.23913043478260865</v>
      </c>
      <c r="AH29" s="24"/>
      <c r="AI29" s="24"/>
      <c r="AL29">
        <f>+$AL$11</f>
        <v>20.329999999999998</v>
      </c>
      <c r="AM29" s="4">
        <f>AL29/B29</f>
        <v>0.44195652173913041</v>
      </c>
      <c r="AN29" s="7">
        <f t="shared" si="14"/>
        <v>0</v>
      </c>
      <c r="AP29" s="4"/>
      <c r="AQ29" s="2">
        <f xml:space="preserve"> $E$7*M29</f>
        <v>13281.434782608698</v>
      </c>
      <c r="AT29" s="4">
        <f>E29*$AY$6</f>
        <v>0.51340000000000008</v>
      </c>
    </row>
    <row r="30" spans="2:51" x14ac:dyDescent="0.25">
      <c r="B30" s="330">
        <f t="shared" si="25"/>
        <v>47</v>
      </c>
      <c r="C30" s="328">
        <f>IF(B30&lt;$B$16,B30*J20,(B30-(B30-$B$16))*$C$7)</f>
        <v>0.70000000000000007</v>
      </c>
      <c r="D30" s="29"/>
      <c r="E30" s="253">
        <f t="shared" si="0"/>
        <v>26.67</v>
      </c>
      <c r="F30" s="254">
        <f t="shared" si="15"/>
        <v>0.56744680851063833</v>
      </c>
      <c r="G30" s="260">
        <f t="shared" si="24"/>
        <v>0.43255319148936167</v>
      </c>
      <c r="H30" s="234">
        <f t="shared" si="9"/>
        <v>1</v>
      </c>
      <c r="I30" s="21"/>
      <c r="J30" s="242">
        <f>E30*$J$7</f>
        <v>0.5334000000000001</v>
      </c>
      <c r="K30" s="232">
        <f>J30/E30</f>
        <v>2.0000000000000004E-2</v>
      </c>
      <c r="L30" s="21"/>
      <c r="M30" s="316">
        <f>F30*C30</f>
        <v>0.39721276595744687</v>
      </c>
      <c r="N30" s="342">
        <f t="shared" si="18"/>
        <v>1.4893617021276596E-2</v>
      </c>
      <c r="O30" s="15"/>
      <c r="P30" s="264">
        <f t="shared" si="19"/>
        <v>0.16659999999999997</v>
      </c>
      <c r="Q30" s="340">
        <f t="shared" si="20"/>
        <v>0.02</v>
      </c>
      <c r="R30" s="282"/>
      <c r="S30" s="301">
        <f t="shared" si="21"/>
        <v>0.3027872340425532</v>
      </c>
      <c r="T30" s="345">
        <f t="shared" si="5"/>
        <v>1.4893617021276598E-2</v>
      </c>
      <c r="U30" s="354"/>
      <c r="V30" s="367">
        <f t="shared" si="7"/>
        <v>0.94000000000000006</v>
      </c>
      <c r="W30" s="267">
        <f t="shared" si="13"/>
        <v>0.70000000000000007</v>
      </c>
      <c r="X30" s="354"/>
      <c r="Y30" s="183">
        <f>J30/E30</f>
        <v>2.0000000000000004E-2</v>
      </c>
      <c r="Z30" s="185">
        <f>M30/E30</f>
        <v>1.4893617021276596E-2</v>
      </c>
      <c r="AA30" s="162">
        <f>-J30+M30</f>
        <v>-0.13618723404255323</v>
      </c>
      <c r="AB30" s="165">
        <f t="shared" si="22"/>
        <v>-0.25531914893617025</v>
      </c>
      <c r="AH30" s="24"/>
      <c r="AI30" s="24"/>
      <c r="AL30">
        <f>+$AL$11</f>
        <v>20.329999999999998</v>
      </c>
      <c r="AM30" s="4">
        <f>AL30/B30</f>
        <v>0.43255319148936167</v>
      </c>
      <c r="AN30" s="7">
        <f t="shared" si="14"/>
        <v>0</v>
      </c>
      <c r="AP30" s="4"/>
      <c r="AQ30" s="2">
        <f xml:space="preserve"> $E$7*M30</f>
        <v>13505.234042553193</v>
      </c>
      <c r="AT30" s="4">
        <f>E30*$AY$6</f>
        <v>0.5334000000000001</v>
      </c>
    </row>
    <row r="31" spans="2:51" x14ac:dyDescent="0.25">
      <c r="B31" s="330">
        <f t="shared" si="25"/>
        <v>48</v>
      </c>
      <c r="C31" s="328">
        <f>IF(B31&lt;$B$16,B31*J21,(B31-(B31-$B$16))*$C$7)</f>
        <v>0.70000000000000007</v>
      </c>
      <c r="D31" s="29"/>
      <c r="E31" s="253">
        <f t="shared" si="0"/>
        <v>27.67</v>
      </c>
      <c r="F31" s="254">
        <f t="shared" si="15"/>
        <v>0.57645833333333341</v>
      </c>
      <c r="G31" s="260">
        <f t="shared" si="24"/>
        <v>0.42354166666666665</v>
      </c>
      <c r="H31" s="234">
        <f t="shared" si="9"/>
        <v>1</v>
      </c>
      <c r="I31" s="21"/>
      <c r="J31" s="242">
        <f>E31*$J$7</f>
        <v>0.5534</v>
      </c>
      <c r="K31" s="232">
        <f>J31/E31</f>
        <v>0.02</v>
      </c>
      <c r="L31" s="21"/>
      <c r="M31" s="316">
        <f>F31*C31</f>
        <v>0.40352083333333344</v>
      </c>
      <c r="N31" s="342">
        <f t="shared" si="18"/>
        <v>1.4583333333333337E-2</v>
      </c>
      <c r="O31" s="15"/>
      <c r="P31" s="264">
        <f t="shared" si="19"/>
        <v>0.14660000000000006</v>
      </c>
      <c r="Q31" s="340">
        <f t="shared" si="20"/>
        <v>0.02</v>
      </c>
      <c r="R31" s="282"/>
      <c r="S31" s="301">
        <f t="shared" si="21"/>
        <v>0.29647916666666668</v>
      </c>
      <c r="T31" s="345">
        <f t="shared" si="5"/>
        <v>1.4583333333333335E-2</v>
      </c>
      <c r="U31" s="354"/>
      <c r="V31" s="367">
        <f t="shared" si="7"/>
        <v>0.96</v>
      </c>
      <c r="W31" s="267">
        <f t="shared" si="13"/>
        <v>0.70000000000000018</v>
      </c>
      <c r="X31" s="354"/>
      <c r="Y31" s="183">
        <f>J31/E31</f>
        <v>0.02</v>
      </c>
      <c r="Z31" s="185">
        <f>M31/E31</f>
        <v>1.4583333333333337E-2</v>
      </c>
      <c r="AA31" s="162">
        <f>-J31+M31</f>
        <v>-0.14987916666666656</v>
      </c>
      <c r="AB31" s="165">
        <f t="shared" si="22"/>
        <v>-0.27083333333333315</v>
      </c>
      <c r="AH31" s="24"/>
      <c r="AI31" s="24"/>
      <c r="AL31">
        <f>+$AL$11</f>
        <v>20.329999999999998</v>
      </c>
      <c r="AM31" s="4">
        <f>AL31/B31</f>
        <v>0.42354166666666665</v>
      </c>
      <c r="AN31" s="7">
        <f t="shared" si="14"/>
        <v>0</v>
      </c>
      <c r="AP31" s="4"/>
      <c r="AQ31" s="2">
        <f xml:space="preserve"> $E$7*M31</f>
        <v>13719.708333333338</v>
      </c>
      <c r="AT31" s="4">
        <f>E31*$AY$6</f>
        <v>0.5534</v>
      </c>
    </row>
    <row r="32" spans="2:51" x14ac:dyDescent="0.25">
      <c r="B32" s="330">
        <f t="shared" si="25"/>
        <v>49</v>
      </c>
      <c r="C32" s="328">
        <f>IF(B32&lt;$B$16,B32*J22,(B32-(B32-$B$16))*$C$7)</f>
        <v>0.70000000000000007</v>
      </c>
      <c r="D32" s="29"/>
      <c r="E32" s="253">
        <f t="shared" si="0"/>
        <v>28.67</v>
      </c>
      <c r="F32" s="254">
        <f t="shared" si="15"/>
        <v>0.58510204081632655</v>
      </c>
      <c r="G32" s="260">
        <f t="shared" si="24"/>
        <v>0.41489795918367345</v>
      </c>
      <c r="H32" s="234">
        <f t="shared" si="9"/>
        <v>1</v>
      </c>
      <c r="I32" s="21"/>
      <c r="J32" s="242">
        <f>E32*$J$7</f>
        <v>0.57340000000000002</v>
      </c>
      <c r="K32" s="232">
        <f>J32/E32</f>
        <v>0.02</v>
      </c>
      <c r="L32" s="21"/>
      <c r="M32" s="316">
        <f>F32*C32</f>
        <v>0.40957142857142864</v>
      </c>
      <c r="N32" s="342">
        <f t="shared" si="18"/>
        <v>1.4285714285714287E-2</v>
      </c>
      <c r="O32" s="15"/>
      <c r="P32" s="264">
        <f t="shared" si="19"/>
        <v>0.12660000000000005</v>
      </c>
      <c r="Q32" s="340">
        <f t="shared" si="20"/>
        <v>0.02</v>
      </c>
      <c r="R32" s="282"/>
      <c r="S32" s="301">
        <f t="shared" si="21"/>
        <v>0.29042857142857142</v>
      </c>
      <c r="T32" s="345">
        <f t="shared" si="5"/>
        <v>1.4285714285714287E-2</v>
      </c>
      <c r="U32" s="354"/>
      <c r="V32" s="367">
        <f t="shared" si="7"/>
        <v>0.98</v>
      </c>
      <c r="W32" s="267">
        <f t="shared" si="13"/>
        <v>0.70000000000000007</v>
      </c>
      <c r="X32" s="354"/>
      <c r="Y32" s="183">
        <f>J32/E32</f>
        <v>0.02</v>
      </c>
      <c r="Z32" s="185">
        <f>M32/E32</f>
        <v>1.4285714285714287E-2</v>
      </c>
      <c r="AA32" s="162">
        <f>-J32+M32</f>
        <v>-0.16382857142857138</v>
      </c>
      <c r="AB32" s="165">
        <f t="shared" si="22"/>
        <v>-0.2857142857142857</v>
      </c>
      <c r="AH32" s="24"/>
      <c r="AI32" s="24"/>
      <c r="AL32">
        <f>+$AL$11</f>
        <v>20.329999999999998</v>
      </c>
      <c r="AM32" s="4">
        <f>AL32/B32</f>
        <v>0.41489795918367345</v>
      </c>
      <c r="AN32" s="7">
        <f t="shared" si="14"/>
        <v>0</v>
      </c>
      <c r="AP32" s="4"/>
      <c r="AQ32" s="2">
        <f xml:space="preserve"> $E$7*M32</f>
        <v>13925.428571428574</v>
      </c>
      <c r="AT32" s="4">
        <f>E32*$AY$6</f>
        <v>0.57340000000000002</v>
      </c>
    </row>
    <row r="33" spans="2:46" x14ac:dyDescent="0.25">
      <c r="B33" s="330">
        <f t="shared" si="25"/>
        <v>50</v>
      </c>
      <c r="C33" s="328">
        <f>IF(B33&lt;$B$16,B33*J23,(B33-(B33-$B$16))*$C$7)</f>
        <v>0.70000000000000007</v>
      </c>
      <c r="D33" s="29"/>
      <c r="E33" s="253">
        <f t="shared" si="0"/>
        <v>29.67</v>
      </c>
      <c r="F33" s="254">
        <f t="shared" si="15"/>
        <v>0.59340000000000004</v>
      </c>
      <c r="G33" s="260">
        <f t="shared" si="24"/>
        <v>0.40659999999999996</v>
      </c>
      <c r="H33" s="234">
        <f t="shared" si="9"/>
        <v>1</v>
      </c>
      <c r="I33" s="21"/>
      <c r="J33" s="242">
        <f>E33*$J$7</f>
        <v>0.59340000000000004</v>
      </c>
      <c r="K33" s="232">
        <f>J33/E33</f>
        <v>0.02</v>
      </c>
      <c r="L33" s="21"/>
      <c r="M33" s="316">
        <f>F33*C33</f>
        <v>0.41538000000000008</v>
      </c>
      <c r="N33" s="342">
        <f t="shared" si="18"/>
        <v>1.4000000000000002E-2</v>
      </c>
      <c r="O33" s="15"/>
      <c r="P33" s="264">
        <f t="shared" si="19"/>
        <v>0.10660000000000003</v>
      </c>
      <c r="Q33" s="340">
        <f t="shared" si="20"/>
        <v>0.02</v>
      </c>
      <c r="R33" s="282"/>
      <c r="S33" s="301">
        <f t="shared" si="21"/>
        <v>0.28461999999999998</v>
      </c>
      <c r="T33" s="345">
        <f t="shared" si="5"/>
        <v>1.4E-2</v>
      </c>
      <c r="U33" s="354"/>
      <c r="V33" s="367">
        <f t="shared" si="7"/>
        <v>1</v>
      </c>
      <c r="W33" s="267">
        <f t="shared" si="13"/>
        <v>0.70000000000000007</v>
      </c>
      <c r="X33" s="354"/>
      <c r="Y33" s="184">
        <f>J33/E33</f>
        <v>0.02</v>
      </c>
      <c r="Z33" s="185">
        <f>M33/E33</f>
        <v>1.4000000000000002E-2</v>
      </c>
      <c r="AA33" s="162">
        <f>-J33+M33</f>
        <v>-0.17801999999999996</v>
      </c>
      <c r="AB33" s="165">
        <f t="shared" si="22"/>
        <v>-0.29999999999999993</v>
      </c>
      <c r="AH33" s="24"/>
      <c r="AI33" s="24"/>
      <c r="AL33">
        <f>+$AL$11</f>
        <v>20.329999999999998</v>
      </c>
      <c r="AM33" s="4">
        <f>AL33/B33</f>
        <v>0.40659999999999996</v>
      </c>
      <c r="AN33" s="7">
        <f t="shared" si="14"/>
        <v>0</v>
      </c>
      <c r="AP33" s="4"/>
      <c r="AQ33" s="2">
        <f xml:space="preserve"> $E$7*M33</f>
        <v>14122.920000000004</v>
      </c>
      <c r="AT33" s="4">
        <f>E33*$AY$6</f>
        <v>0.59340000000000004</v>
      </c>
    </row>
    <row r="34" spans="2:46" x14ac:dyDescent="0.25">
      <c r="B34" s="322">
        <v>55</v>
      </c>
      <c r="C34" s="328">
        <f>IF(B34&lt;$B$16,B34*J24,(B34-(B34-$B$16))*$C$7)</f>
        <v>0.70000000000000007</v>
      </c>
      <c r="D34" s="29"/>
      <c r="E34" s="253">
        <f t="shared" si="0"/>
        <v>34.67</v>
      </c>
      <c r="F34" s="254">
        <f t="shared" si="15"/>
        <v>0.63036363636363635</v>
      </c>
      <c r="G34" s="260">
        <f t="shared" si="24"/>
        <v>0.3696363636363636</v>
      </c>
      <c r="H34" s="234">
        <f t="shared" si="9"/>
        <v>1</v>
      </c>
      <c r="I34" s="21"/>
      <c r="J34" s="242">
        <f>E34*$J$7</f>
        <v>0.69340000000000002</v>
      </c>
      <c r="K34" s="232">
        <f>J34/E34</f>
        <v>0.02</v>
      </c>
      <c r="L34" s="21"/>
      <c r="M34" s="316">
        <f>F34*C34</f>
        <v>0.44125454545454551</v>
      </c>
      <c r="N34" s="342">
        <f t="shared" si="18"/>
        <v>1.2727272727272728E-2</v>
      </c>
      <c r="O34" s="15"/>
      <c r="P34" s="264">
        <f t="shared" si="19"/>
        <v>6.6000000000000503E-3</v>
      </c>
      <c r="Q34" s="334">
        <f t="shared" si="3"/>
        <v>3.2464338416134044E-4</v>
      </c>
      <c r="R34" s="282"/>
      <c r="S34" s="301">
        <f t="shared" si="21"/>
        <v>0.25874545454545456</v>
      </c>
      <c r="T34" s="345">
        <f t="shared" si="5"/>
        <v>1.2727272727272729E-2</v>
      </c>
      <c r="U34" s="354"/>
      <c r="V34" s="367">
        <f t="shared" si="7"/>
        <v>1.7855386128873725E-2</v>
      </c>
      <c r="W34" s="267">
        <f t="shared" si="13"/>
        <v>0.70000000000000007</v>
      </c>
      <c r="X34" s="354"/>
      <c r="Y34" s="183">
        <f>J34/E34</f>
        <v>0.02</v>
      </c>
      <c r="Z34" s="185">
        <f>M34/E34</f>
        <v>1.2727272727272728E-2</v>
      </c>
      <c r="AA34" s="162">
        <f>-J34+M34</f>
        <v>-0.25214545454545451</v>
      </c>
      <c r="AB34" s="165">
        <f t="shared" si="22"/>
        <v>-0.36363636363636365</v>
      </c>
      <c r="AH34" s="24"/>
    </row>
    <row r="35" spans="2:46" x14ac:dyDescent="0.25">
      <c r="B35" s="322">
        <v>60</v>
      </c>
      <c r="C35" s="328">
        <f>IF(B35&lt;$B$16,B35*J25,(B35-(B35-$B$16))*$C$7)</f>
        <v>0.70000000000000007</v>
      </c>
      <c r="D35" s="29"/>
      <c r="E35" s="253">
        <f t="shared" si="0"/>
        <v>39.67</v>
      </c>
      <c r="F35" s="254">
        <f t="shared" si="15"/>
        <v>0.66116666666666668</v>
      </c>
      <c r="G35" s="260">
        <f t="shared" si="24"/>
        <v>0.33883333333333332</v>
      </c>
      <c r="H35" s="234">
        <f t="shared" si="9"/>
        <v>1</v>
      </c>
      <c r="I35" s="21"/>
      <c r="J35" s="242">
        <f>E35*$J$7</f>
        <v>0.79340000000000011</v>
      </c>
      <c r="K35" s="232">
        <f>J35/E35</f>
        <v>0.02</v>
      </c>
      <c r="L35" s="21"/>
      <c r="M35" s="316">
        <f>F35*C35</f>
        <v>0.46281666666666671</v>
      </c>
      <c r="N35" s="342">
        <f t="shared" si="18"/>
        <v>1.1666666666666667E-2</v>
      </c>
      <c r="O35" s="15"/>
      <c r="P35" s="264">
        <f t="shared" si="19"/>
        <v>-9.3400000000000039E-2</v>
      </c>
      <c r="Q35" s="334">
        <f t="shared" si="3"/>
        <v>-4.5941957697983298E-3</v>
      </c>
      <c r="R35" s="282"/>
      <c r="S35" s="301">
        <f t="shared" si="21"/>
        <v>0.23718333333333336</v>
      </c>
      <c r="T35" s="345">
        <f t="shared" si="5"/>
        <v>1.1666666666666669E-2</v>
      </c>
      <c r="U35" s="354"/>
      <c r="V35" s="367">
        <f t="shared" si="7"/>
        <v>-0.27565174618789978</v>
      </c>
      <c r="W35" s="267">
        <f t="shared" si="13"/>
        <v>0.70000000000000007</v>
      </c>
      <c r="X35" s="354"/>
      <c r="Y35" s="183">
        <f>J35/E35</f>
        <v>0.02</v>
      </c>
      <c r="Z35" s="185">
        <f>M35/E35</f>
        <v>1.1666666666666667E-2</v>
      </c>
      <c r="AA35" s="162">
        <f>-J35+M35</f>
        <v>-0.3305833333333334</v>
      </c>
      <c r="AB35" s="165">
        <f t="shared" si="22"/>
        <v>-0.41666666666666663</v>
      </c>
      <c r="AH35" s="24"/>
    </row>
    <row r="36" spans="2:46" x14ac:dyDescent="0.25">
      <c r="B36" s="322">
        <v>65</v>
      </c>
      <c r="C36" s="328">
        <f>IF(B36&lt;$B$16,B36*J26,(B36-(B36-$B$16))*$C$7)</f>
        <v>0.70000000000000007</v>
      </c>
      <c r="D36" s="29"/>
      <c r="E36" s="253">
        <f t="shared" si="0"/>
        <v>44.67</v>
      </c>
      <c r="F36" s="254">
        <f t="shared" si="15"/>
        <v>0.68723076923076931</v>
      </c>
      <c r="G36" s="260">
        <f t="shared" si="24"/>
        <v>0.31276923076923074</v>
      </c>
      <c r="H36" s="234">
        <f t="shared" si="9"/>
        <v>1</v>
      </c>
      <c r="I36" s="21"/>
      <c r="J36" s="242">
        <f>E36*$J$7</f>
        <v>0.89340000000000008</v>
      </c>
      <c r="K36" s="232">
        <f>J36/E36</f>
        <v>0.02</v>
      </c>
      <c r="L36" s="21"/>
      <c r="M36" s="316">
        <f>F36*C36</f>
        <v>0.48106153846153854</v>
      </c>
      <c r="N36" s="342">
        <f t="shared" si="18"/>
        <v>1.0769230769230771E-2</v>
      </c>
      <c r="O36" s="15"/>
      <c r="P36" s="264">
        <f t="shared" si="19"/>
        <v>-0.19340000000000002</v>
      </c>
      <c r="Q36" s="334">
        <f t="shared" si="3"/>
        <v>-9.5130349237579955E-3</v>
      </c>
      <c r="R36" s="282"/>
      <c r="S36" s="301">
        <f t="shared" si="21"/>
        <v>0.21893846153846155</v>
      </c>
      <c r="T36" s="345">
        <f t="shared" si="5"/>
        <v>1.0769230769230771E-2</v>
      </c>
      <c r="U36" s="354"/>
      <c r="V36" s="367">
        <f t="shared" si="7"/>
        <v>-0.6183472700442697</v>
      </c>
      <c r="W36" s="267">
        <f t="shared" si="13"/>
        <v>0.70000000000000007</v>
      </c>
      <c r="X36" s="354"/>
      <c r="Y36" s="183">
        <f>J36/E36</f>
        <v>0.02</v>
      </c>
      <c r="Z36" s="185">
        <f>M36/E36</f>
        <v>1.0769230769230771E-2</v>
      </c>
      <c r="AA36" s="162">
        <f>-J36+M36</f>
        <v>-0.41233846153846154</v>
      </c>
      <c r="AB36" s="165">
        <f t="shared" si="22"/>
        <v>-0.46153846153846145</v>
      </c>
      <c r="AH36" s="24"/>
    </row>
    <row r="37" spans="2:46" ht="14.4" thickBot="1" x14ac:dyDescent="0.3">
      <c r="B37" s="322">
        <v>70</v>
      </c>
      <c r="C37" s="328">
        <f>IF(B37&lt;$B$16,B37*J27,(B37-(B37-$B$16))*$C$7)</f>
        <v>0.70000000000000007</v>
      </c>
      <c r="D37" s="29"/>
      <c r="E37" s="251">
        <f t="shared" si="0"/>
        <v>49.67</v>
      </c>
      <c r="F37" s="257">
        <f t="shared" si="15"/>
        <v>0.70957142857142863</v>
      </c>
      <c r="G37" s="262">
        <f t="shared" si="24"/>
        <v>0.29042857142857142</v>
      </c>
      <c r="H37" s="235">
        <f t="shared" si="9"/>
        <v>1</v>
      </c>
      <c r="I37" s="21"/>
      <c r="J37" s="242">
        <f>E37*$J$7</f>
        <v>0.99340000000000006</v>
      </c>
      <c r="K37" s="232">
        <f>J37/E37</f>
        <v>0.02</v>
      </c>
      <c r="L37" s="21"/>
      <c r="M37" s="316">
        <f>F37*C37</f>
        <v>0.49670000000000009</v>
      </c>
      <c r="N37" s="344">
        <f t="shared" si="18"/>
        <v>1.0000000000000002E-2</v>
      </c>
      <c r="O37" s="15"/>
      <c r="P37" s="264">
        <f t="shared" si="19"/>
        <v>-0.29339999999999999</v>
      </c>
      <c r="Q37" s="334">
        <f t="shared" si="3"/>
        <v>-1.4431874077717659E-2</v>
      </c>
      <c r="R37" s="282"/>
      <c r="S37" s="301">
        <f t="shared" si="21"/>
        <v>0.20330000000000001</v>
      </c>
      <c r="T37" s="345">
        <f t="shared" si="5"/>
        <v>1.0000000000000002E-2</v>
      </c>
      <c r="U37" s="354"/>
      <c r="V37" s="367">
        <f t="shared" si="7"/>
        <v>-1.0102311854402362</v>
      </c>
      <c r="W37" s="267">
        <f t="shared" si="13"/>
        <v>0.70000000000000007</v>
      </c>
      <c r="X37" s="354"/>
      <c r="Y37" s="183">
        <f>J37/E37</f>
        <v>0.02</v>
      </c>
      <c r="Z37" s="185">
        <f>M37/E37</f>
        <v>1.0000000000000002E-2</v>
      </c>
      <c r="AA37" s="162">
        <f>-J37+M37</f>
        <v>-0.49669999999999997</v>
      </c>
      <c r="AB37" s="165">
        <f t="shared" si="22"/>
        <v>-0.49999999999999989</v>
      </c>
      <c r="AH37" s="24"/>
    </row>
    <row r="38" spans="2:46" x14ac:dyDescent="0.25">
      <c r="B38" s="357"/>
      <c r="C38" s="29"/>
      <c r="D38" s="29"/>
      <c r="H38" s="236"/>
      <c r="L38" s="280"/>
      <c r="AB38" s="1"/>
    </row>
    <row r="39" spans="2:46" x14ac:dyDescent="0.25">
      <c r="C39" s="280"/>
    </row>
    <row r="40" spans="2:46" x14ac:dyDescent="0.25">
      <c r="J40" s="21" t="s">
        <v>52</v>
      </c>
      <c r="K40" s="21"/>
      <c r="L40" s="21"/>
      <c r="M40" s="15" t="s">
        <v>52</v>
      </c>
      <c r="N40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C78E-632F-47AC-AB43-7183A85F7F68}">
  <dimension ref="B1"/>
  <sheetViews>
    <sheetView rightToLeft="1" topLeftCell="B10" workbookViewId="0">
      <selection activeCell="B1" sqref="B1:B1048576"/>
    </sheetView>
  </sheetViews>
  <sheetFormatPr defaultRowHeight="13.85" x14ac:dyDescent="0.25"/>
  <cols>
    <col min="2" max="2" width="46.08984375" customWidth="1"/>
    <col min="3" max="3" width="26.81640625" customWidth="1"/>
    <col min="4" max="4" width="48.453125" customWidth="1"/>
    <col min="5" max="5" width="21.54296875" customWidth="1"/>
    <col min="15" max="15" width="8.6328125" customWidth="1"/>
  </cols>
  <sheetData>
    <row r="1" spans="2:2" x14ac:dyDescent="0.25">
      <c r="B1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2657-4E11-497B-A9B9-7B179577AAC5}">
  <dimension ref="B1:AK36"/>
  <sheetViews>
    <sheetView rightToLeft="1" topLeftCell="A10" workbookViewId="0">
      <selection activeCell="K11" sqref="K11"/>
    </sheetView>
  </sheetViews>
  <sheetFormatPr defaultRowHeight="13.85" x14ac:dyDescent="0.25"/>
  <cols>
    <col min="1" max="1" width="7.54296875" customWidth="1"/>
    <col min="2" max="2" width="9.6328125" customWidth="1"/>
    <col min="3" max="3" width="7.6328125" customWidth="1"/>
    <col min="4" max="4" width="1.36328125" customWidth="1"/>
    <col min="5" max="5" width="8.36328125" style="7" customWidth="1"/>
    <col min="6" max="6" width="9.453125" customWidth="1"/>
    <col min="7" max="7" width="1.26953125" customWidth="1"/>
    <col min="8" max="8" width="9.81640625" customWidth="1"/>
    <col min="9" max="9" width="10.36328125" customWidth="1"/>
    <col min="10" max="10" width="1.26953125" customWidth="1"/>
    <col min="11" max="11" width="9" customWidth="1"/>
    <col min="12" max="12" width="10.453125" customWidth="1"/>
    <col min="13" max="13" width="8.81640625" customWidth="1"/>
    <col min="14" max="14" width="10.1796875" customWidth="1"/>
    <col min="18" max="18" width="20" bestFit="1" customWidth="1"/>
    <col min="20" max="22" width="7.453125" customWidth="1"/>
    <col min="24" max="28" width="8.81640625" customWidth="1"/>
    <col min="29" max="29" width="9.81640625" customWidth="1"/>
    <col min="30" max="30" width="9" customWidth="1"/>
    <col min="31" max="31" width="7.90625" customWidth="1"/>
    <col min="32" max="32" width="8.6328125" customWidth="1"/>
    <col min="36" max="36" width="9.6328125" bestFit="1" customWidth="1"/>
  </cols>
  <sheetData>
    <row r="1" spans="2:37" ht="18.45" thickBot="1" x14ac:dyDescent="0.4">
      <c r="B1" s="36" t="s">
        <v>40</v>
      </c>
      <c r="H1" s="36" t="s">
        <v>51</v>
      </c>
    </row>
    <row r="2" spans="2:37" ht="18.45" thickBot="1" x14ac:dyDescent="0.4">
      <c r="B2" s="68" t="s">
        <v>38</v>
      </c>
      <c r="C2" s="74"/>
      <c r="D2" s="73"/>
      <c r="E2" s="66" t="s">
        <v>41</v>
      </c>
      <c r="F2" s="67"/>
      <c r="H2" s="68" t="s">
        <v>36</v>
      </c>
      <c r="I2" s="76" t="s">
        <v>46</v>
      </c>
      <c r="J2" s="36"/>
      <c r="K2" s="206" t="s">
        <v>69</v>
      </c>
      <c r="L2" s="154"/>
      <c r="M2" s="74" t="s">
        <v>37</v>
      </c>
      <c r="N2" s="69"/>
      <c r="T2" s="36"/>
    </row>
    <row r="3" spans="2:37" ht="14.4" thickBot="1" x14ac:dyDescent="0.3">
      <c r="B3" s="139">
        <v>1</v>
      </c>
      <c r="C3" s="140">
        <v>2</v>
      </c>
      <c r="D3" s="60"/>
      <c r="E3" s="141">
        <v>3</v>
      </c>
      <c r="F3" s="142">
        <v>4</v>
      </c>
      <c r="G3" s="8"/>
      <c r="H3" s="143">
        <v>5</v>
      </c>
      <c r="I3" s="51">
        <v>6</v>
      </c>
      <c r="J3" s="8"/>
      <c r="K3" s="207" t="s">
        <v>70</v>
      </c>
      <c r="L3" s="144">
        <v>8</v>
      </c>
      <c r="M3" s="143">
        <v>9</v>
      </c>
      <c r="N3" s="144">
        <v>10</v>
      </c>
      <c r="U3" s="8"/>
    </row>
    <row r="4" spans="2:37" x14ac:dyDescent="0.25">
      <c r="B4" s="146" t="s">
        <v>5</v>
      </c>
      <c r="C4" s="199" t="s">
        <v>3</v>
      </c>
      <c r="D4" s="152"/>
      <c r="E4" s="62" t="s">
        <v>14</v>
      </c>
      <c r="F4" s="57" t="s">
        <v>26</v>
      </c>
      <c r="G4" s="145"/>
      <c r="H4" s="62" t="s">
        <v>66</v>
      </c>
      <c r="I4" s="192" t="s">
        <v>7</v>
      </c>
      <c r="J4" s="92"/>
      <c r="K4" s="130"/>
      <c r="L4" s="195" t="s">
        <v>71</v>
      </c>
      <c r="M4" s="97" t="s">
        <v>50</v>
      </c>
      <c r="N4" s="190" t="s">
        <v>61</v>
      </c>
      <c r="T4" t="s">
        <v>17</v>
      </c>
      <c r="U4" t="s">
        <v>17</v>
      </c>
      <c r="X4" t="s">
        <v>16</v>
      </c>
      <c r="Y4" s="5" t="s">
        <v>11</v>
      </c>
      <c r="Z4" t="s">
        <v>5</v>
      </c>
      <c r="AB4" s="1" t="s">
        <v>12</v>
      </c>
      <c r="AC4" t="s">
        <v>6</v>
      </c>
      <c r="AD4" t="s">
        <v>9</v>
      </c>
      <c r="AE4" t="s">
        <v>3</v>
      </c>
      <c r="AF4" s="3" t="s">
        <v>4</v>
      </c>
      <c r="AH4" t="s">
        <v>3</v>
      </c>
      <c r="AI4" t="s">
        <v>2</v>
      </c>
      <c r="AJ4" t="s">
        <v>1</v>
      </c>
      <c r="AK4" t="s">
        <v>5</v>
      </c>
    </row>
    <row r="5" spans="2:37" x14ac:dyDescent="0.25">
      <c r="B5" s="147" t="s">
        <v>30</v>
      </c>
      <c r="C5" s="151" t="s">
        <v>39</v>
      </c>
      <c r="D5" s="34"/>
      <c r="E5" s="63" t="s">
        <v>25</v>
      </c>
      <c r="F5" s="41" t="s">
        <v>47</v>
      </c>
      <c r="G5" s="5"/>
      <c r="H5" s="193" t="s">
        <v>68</v>
      </c>
      <c r="I5" s="158" t="s">
        <v>63</v>
      </c>
      <c r="J5" s="31"/>
      <c r="K5" s="208" t="s">
        <v>62</v>
      </c>
      <c r="L5" s="203"/>
      <c r="M5" s="54" t="s">
        <v>19</v>
      </c>
      <c r="N5" s="94" t="s">
        <v>59</v>
      </c>
      <c r="T5" s="10" t="s">
        <v>18</v>
      </c>
      <c r="U5" s="1" t="s">
        <v>22</v>
      </c>
      <c r="X5" s="9">
        <v>10000</v>
      </c>
      <c r="Y5" s="9" t="s">
        <v>15</v>
      </c>
      <c r="Z5" s="8" t="s">
        <v>10</v>
      </c>
      <c r="AB5" s="11" t="s">
        <v>13</v>
      </c>
      <c r="AC5" s="11" t="s">
        <v>8</v>
      </c>
      <c r="AK5" s="1">
        <v>0.02</v>
      </c>
    </row>
    <row r="6" spans="2:37" x14ac:dyDescent="0.25">
      <c r="B6" s="189">
        <v>20.329999999999998</v>
      </c>
      <c r="C6" s="151">
        <v>0.02</v>
      </c>
      <c r="D6" s="34"/>
      <c r="E6" s="77">
        <v>34000</v>
      </c>
      <c r="F6" s="42" t="s">
        <v>15</v>
      </c>
      <c r="G6" s="9"/>
      <c r="H6" s="194">
        <v>0.02</v>
      </c>
      <c r="I6" s="155" t="s">
        <v>28</v>
      </c>
      <c r="J6" s="8"/>
      <c r="K6" s="209" t="s">
        <v>72</v>
      </c>
      <c r="L6" s="95" t="s">
        <v>28</v>
      </c>
      <c r="M6" s="98" t="s">
        <v>35</v>
      </c>
      <c r="N6" s="37" t="s">
        <v>34</v>
      </c>
      <c r="T6" s="10"/>
      <c r="U6" s="10" t="s">
        <v>27</v>
      </c>
      <c r="X6" s="9"/>
      <c r="Y6" s="9"/>
      <c r="Z6" s="8"/>
      <c r="AB6" s="11"/>
      <c r="AC6" s="11"/>
      <c r="AK6" s="1"/>
    </row>
    <row r="7" spans="2:37" x14ac:dyDescent="0.25">
      <c r="B7" s="108" t="s">
        <v>60</v>
      </c>
      <c r="C7" s="153" t="s">
        <v>31</v>
      </c>
      <c r="D7" s="55"/>
      <c r="E7" s="64"/>
      <c r="F7" s="43" t="s">
        <v>48</v>
      </c>
      <c r="G7" s="75"/>
      <c r="H7" s="98" t="s">
        <v>67</v>
      </c>
      <c r="I7" s="43" t="s">
        <v>49</v>
      </c>
      <c r="J7" s="26"/>
      <c r="K7" s="209" t="s">
        <v>73</v>
      </c>
      <c r="L7" s="82" t="s">
        <v>64</v>
      </c>
      <c r="M7" s="82" t="s">
        <v>44</v>
      </c>
      <c r="N7" s="43" t="s">
        <v>58</v>
      </c>
      <c r="T7" s="19" t="s">
        <v>21</v>
      </c>
      <c r="U7" s="10"/>
      <c r="X7" s="33">
        <v>20.329999999999998</v>
      </c>
      <c r="Y7" s="9"/>
      <c r="Z7" s="8"/>
      <c r="AB7" s="11"/>
      <c r="AC7" s="11"/>
      <c r="AK7" s="1"/>
    </row>
    <row r="8" spans="2:37" x14ac:dyDescent="0.25">
      <c r="B8" s="38">
        <v>30.33</v>
      </c>
      <c r="C8" s="110">
        <f t="shared" ref="C8:C13" si="0">B8*$H$6</f>
        <v>0.60660000000000003</v>
      </c>
      <c r="D8" s="15"/>
      <c r="E8" s="58">
        <f>B8-X8</f>
        <v>10</v>
      </c>
      <c r="F8" s="44">
        <f t="shared" ref="F8:F34" si="1">$B$6/B8</f>
        <v>0.67029343883943293</v>
      </c>
      <c r="G8" s="21"/>
      <c r="H8" s="84">
        <f t="shared" ref="H8:H22" si="2">IF(B8&gt;$B$13,($B$6-(B8-35))*$C$6,$B$6*$C$6)</f>
        <v>0.40659999999999996</v>
      </c>
      <c r="I8" s="85">
        <f t="shared" ref="I8:I34" si="3">F8*C8</f>
        <v>0.40660000000000002</v>
      </c>
      <c r="J8" s="15"/>
      <c r="K8" s="124">
        <f t="shared" ref="K8:K12" si="4">H8/($B$6-(B8-$B$13))</f>
        <v>1.6263999999999997E-2</v>
      </c>
      <c r="L8" s="204">
        <f xml:space="preserve"> I8/$B$6</f>
        <v>2.0000000000000004E-2</v>
      </c>
      <c r="M8" s="99">
        <f t="shared" ref="M8:M14" si="5">H8-I8</f>
        <v>0</v>
      </c>
      <c r="N8" s="107">
        <f t="shared" ref="N8:N13" si="6">((L8/$C$6)-1)*-1</f>
        <v>-2.2204460492503131E-16</v>
      </c>
      <c r="T8" s="16">
        <f t="shared" ref="T8:T34" si="7">I8/C8</f>
        <v>0.67029343883943293</v>
      </c>
      <c r="U8" s="22"/>
      <c r="X8">
        <v>20.329999999999998</v>
      </c>
      <c r="Y8" s="4">
        <f>X8/B8</f>
        <v>0.67029343883943293</v>
      </c>
      <c r="Z8" s="7">
        <f>AD8+AB8</f>
        <v>0</v>
      </c>
      <c r="AB8" s="4"/>
      <c r="AC8" s="2">
        <f xml:space="preserve"> $E$6*I8</f>
        <v>13824.400000000001</v>
      </c>
      <c r="AE8" s="5">
        <f>E6*I8</f>
        <v>13824.400000000001</v>
      </c>
      <c r="AH8" s="5">
        <f>X5*AI8</f>
        <v>4065.9999999999995</v>
      </c>
      <c r="AI8" s="4">
        <f>X8*$AK$5</f>
        <v>0.40659999999999996</v>
      </c>
      <c r="AK8">
        <v>30</v>
      </c>
    </row>
    <row r="9" spans="2:37" x14ac:dyDescent="0.25">
      <c r="B9" s="38">
        <f t="shared" ref="B9:B20" si="8">X9+E9</f>
        <v>31.33</v>
      </c>
      <c r="C9" s="110">
        <f t="shared" si="0"/>
        <v>0.62659999999999993</v>
      </c>
      <c r="D9" s="15"/>
      <c r="E9" s="58">
        <f>E8+1</f>
        <v>11</v>
      </c>
      <c r="F9" s="44">
        <f t="shared" si="1"/>
        <v>0.64889881902330038</v>
      </c>
      <c r="G9" s="21"/>
      <c r="H9" s="84">
        <f t="shared" si="2"/>
        <v>0.40659999999999996</v>
      </c>
      <c r="I9" s="85">
        <f t="shared" si="3"/>
        <v>0.40659999999999996</v>
      </c>
      <c r="J9" s="15"/>
      <c r="K9" s="124">
        <f t="shared" si="4"/>
        <v>1.6941666666666664E-2</v>
      </c>
      <c r="L9" s="204">
        <f t="shared" ref="L9:L23" si="9" xml:space="preserve"> I9/$B$6</f>
        <v>0.02</v>
      </c>
      <c r="M9" s="105">
        <f t="shared" si="5"/>
        <v>0</v>
      </c>
      <c r="N9" s="107">
        <f t="shared" si="6"/>
        <v>0</v>
      </c>
      <c r="T9" s="16">
        <f t="shared" si="7"/>
        <v>0.64889881902330038</v>
      </c>
      <c r="U9" s="22"/>
      <c r="X9">
        <f t="shared" ref="X9:X30" si="10">+$X$8</f>
        <v>20.329999999999998</v>
      </c>
      <c r="Y9" s="4">
        <f>X9/B9</f>
        <v>0.64889881902330038</v>
      </c>
      <c r="Z9" s="7">
        <f>AD9+AB9</f>
        <v>0</v>
      </c>
      <c r="AB9" s="4">
        <f>I9-I8</f>
        <v>0</v>
      </c>
      <c r="AC9" s="2">
        <f xml:space="preserve"> $E$6*I9</f>
        <v>13824.399999999998</v>
      </c>
      <c r="AF9" s="4">
        <f>E9*$AK$5</f>
        <v>0.22</v>
      </c>
      <c r="AH9" s="5">
        <f t="shared" ref="AH9:AH11" si="11">AI8*AI9</f>
        <v>0.16532355999999998</v>
      </c>
      <c r="AI9" s="4">
        <f>X9*$AK$5</f>
        <v>0.40659999999999996</v>
      </c>
      <c r="AK9">
        <v>31</v>
      </c>
    </row>
    <row r="10" spans="2:37" x14ac:dyDescent="0.25">
      <c r="B10" s="38">
        <f t="shared" si="8"/>
        <v>32.33</v>
      </c>
      <c r="C10" s="110">
        <f t="shared" si="0"/>
        <v>0.64659999999999995</v>
      </c>
      <c r="D10" s="15"/>
      <c r="E10" s="58">
        <f t="shared" ref="E10:E34" si="12">E9+1</f>
        <v>12</v>
      </c>
      <c r="F10" s="44">
        <f t="shared" si="1"/>
        <v>0.62882771419733996</v>
      </c>
      <c r="G10" s="21"/>
      <c r="H10" s="84">
        <f t="shared" si="2"/>
        <v>0.40659999999999996</v>
      </c>
      <c r="I10" s="85">
        <f t="shared" si="3"/>
        <v>0.40659999999999996</v>
      </c>
      <c r="J10" s="15"/>
      <c r="K10" s="124">
        <f t="shared" si="4"/>
        <v>1.7678260869565216E-2</v>
      </c>
      <c r="L10" s="204">
        <f t="shared" si="9"/>
        <v>0.02</v>
      </c>
      <c r="M10" s="99">
        <f t="shared" si="5"/>
        <v>0</v>
      </c>
      <c r="N10" s="107">
        <f t="shared" si="6"/>
        <v>0</v>
      </c>
      <c r="T10" s="16">
        <f t="shared" si="7"/>
        <v>0.62882771419733996</v>
      </c>
      <c r="U10" s="22"/>
      <c r="X10">
        <f t="shared" si="10"/>
        <v>20.329999999999998</v>
      </c>
      <c r="Y10" s="4">
        <f>X10/B10</f>
        <v>0.62882771419733996</v>
      </c>
      <c r="Z10" s="7">
        <f>AD10+AB10</f>
        <v>0</v>
      </c>
      <c r="AB10" s="4">
        <f>I10-I9</f>
        <v>0</v>
      </c>
      <c r="AC10" s="2">
        <f xml:space="preserve"> $E$6*I10</f>
        <v>13824.399999999998</v>
      </c>
      <c r="AF10" s="4">
        <f>E10*$AK$5</f>
        <v>0.24</v>
      </c>
      <c r="AH10" s="5">
        <f t="shared" si="11"/>
        <v>0.16532355999999998</v>
      </c>
      <c r="AI10" s="4">
        <f>X10*$AK$5</f>
        <v>0.40659999999999996</v>
      </c>
      <c r="AK10">
        <v>35</v>
      </c>
    </row>
    <row r="11" spans="2:37" x14ac:dyDescent="0.25">
      <c r="B11" s="38">
        <f t="shared" si="8"/>
        <v>33.33</v>
      </c>
      <c r="C11" s="110">
        <f t="shared" si="0"/>
        <v>0.66659999999999997</v>
      </c>
      <c r="D11" s="15"/>
      <c r="E11" s="58">
        <f t="shared" si="12"/>
        <v>13</v>
      </c>
      <c r="F11" s="44">
        <f t="shared" si="1"/>
        <v>0.60996099609960996</v>
      </c>
      <c r="G11" s="21"/>
      <c r="H11" s="84">
        <f t="shared" si="2"/>
        <v>0.40659999999999996</v>
      </c>
      <c r="I11" s="85">
        <f t="shared" si="3"/>
        <v>0.40659999999999996</v>
      </c>
      <c r="J11" s="15"/>
      <c r="K11" s="124">
        <f t="shared" si="4"/>
        <v>1.8481818181818179E-2</v>
      </c>
      <c r="L11" s="204">
        <f t="shared" si="9"/>
        <v>0.02</v>
      </c>
      <c r="M11" s="99">
        <f t="shared" si="5"/>
        <v>0</v>
      </c>
      <c r="N11" s="107">
        <f t="shared" si="6"/>
        <v>0</v>
      </c>
      <c r="T11" s="17">
        <f t="shared" si="7"/>
        <v>0.60996099609960996</v>
      </c>
      <c r="U11" s="23"/>
      <c r="V11">
        <v>2</v>
      </c>
      <c r="X11">
        <f t="shared" si="10"/>
        <v>20.329999999999998</v>
      </c>
      <c r="Y11" s="4">
        <f>X11/B11</f>
        <v>0.60996099609960996</v>
      </c>
      <c r="Z11" s="7">
        <f>AD11+AB11</f>
        <v>0</v>
      </c>
      <c r="AB11" s="4">
        <f>I11-I10</f>
        <v>0</v>
      </c>
      <c r="AC11" s="2">
        <f xml:space="preserve"> $E$6*I11</f>
        <v>13824.399999999998</v>
      </c>
      <c r="AF11" s="4">
        <f>E11*$AK$5</f>
        <v>0.26</v>
      </c>
      <c r="AH11" s="5">
        <f t="shared" si="11"/>
        <v>0.16532355999999998</v>
      </c>
      <c r="AI11" s="4">
        <f>X11*$AK$5</f>
        <v>0.40659999999999996</v>
      </c>
      <c r="AK11">
        <v>36</v>
      </c>
    </row>
    <row r="12" spans="2:37" ht="14.4" thickBot="1" x14ac:dyDescent="0.3">
      <c r="B12" s="38">
        <f t="shared" si="8"/>
        <v>34.33</v>
      </c>
      <c r="C12" s="110">
        <f t="shared" si="0"/>
        <v>0.68659999999999999</v>
      </c>
      <c r="D12" s="15"/>
      <c r="E12" s="58">
        <f t="shared" si="12"/>
        <v>14</v>
      </c>
      <c r="F12" s="44">
        <f t="shared" si="1"/>
        <v>0.59219341683658611</v>
      </c>
      <c r="G12" s="21"/>
      <c r="H12" s="84">
        <f t="shared" si="2"/>
        <v>0.40659999999999996</v>
      </c>
      <c r="I12" s="85">
        <f t="shared" si="3"/>
        <v>0.40660000000000002</v>
      </c>
      <c r="J12" s="15"/>
      <c r="K12" s="124">
        <f t="shared" si="4"/>
        <v>1.9361904761904761E-2</v>
      </c>
      <c r="L12" s="204">
        <f t="shared" si="9"/>
        <v>2.0000000000000004E-2</v>
      </c>
      <c r="M12" s="99">
        <f t="shared" si="5"/>
        <v>0</v>
      </c>
      <c r="N12" s="107">
        <f t="shared" si="6"/>
        <v>-2.2204460492503131E-16</v>
      </c>
      <c r="T12" s="16">
        <f t="shared" si="7"/>
        <v>0.59219341683658611</v>
      </c>
      <c r="U12" s="22"/>
      <c r="V12" s="71">
        <v>0.44040000000000001</v>
      </c>
      <c r="X12">
        <f t="shared" si="10"/>
        <v>20.329999999999998</v>
      </c>
      <c r="Y12" s="4">
        <f>X12/B12</f>
        <v>0.59219341683658611</v>
      </c>
      <c r="Z12" s="7">
        <f>AD12+AB12</f>
        <v>0</v>
      </c>
      <c r="AB12" s="4">
        <f>I12-I11</f>
        <v>0</v>
      </c>
      <c r="AC12" s="2">
        <f xml:space="preserve"> $E$6*I12</f>
        <v>13824.400000000001</v>
      </c>
      <c r="AF12" s="4">
        <f>E12*$AK$5</f>
        <v>0.28000000000000003</v>
      </c>
      <c r="AI12" s="4">
        <f>X12*$AK$5</f>
        <v>0.40659999999999996</v>
      </c>
      <c r="AK12">
        <v>38</v>
      </c>
    </row>
    <row r="13" spans="2:37" ht="14.4" thickBot="1" x14ac:dyDescent="0.3">
      <c r="B13" s="111">
        <f t="shared" si="8"/>
        <v>35</v>
      </c>
      <c r="C13" s="135">
        <f t="shared" si="0"/>
        <v>0.70000000000000007</v>
      </c>
      <c r="D13" s="32"/>
      <c r="E13" s="138">
        <f>E12+0.67</f>
        <v>14.67</v>
      </c>
      <c r="F13" s="137">
        <f t="shared" si="1"/>
        <v>0.58085714285714285</v>
      </c>
      <c r="G13" s="49"/>
      <c r="H13" s="191">
        <f t="shared" si="2"/>
        <v>0.40659999999999996</v>
      </c>
      <c r="I13" s="136">
        <f t="shared" si="3"/>
        <v>0.40660000000000002</v>
      </c>
      <c r="J13" s="93"/>
      <c r="K13" s="124">
        <f t="shared" ref="K13:K34" si="13">H13/($B$6-(B13-$B$13))</f>
        <v>0.02</v>
      </c>
      <c r="L13" s="205">
        <f t="shared" si="9"/>
        <v>2.0000000000000004E-2</v>
      </c>
      <c r="M13" s="200">
        <f t="shared" si="5"/>
        <v>0</v>
      </c>
      <c r="N13" s="201">
        <f t="shared" si="6"/>
        <v>-2.2204460492503131E-16</v>
      </c>
      <c r="R13" s="1"/>
      <c r="T13" s="28">
        <f t="shared" si="7"/>
        <v>0.58085714285714285</v>
      </c>
      <c r="U13" s="22"/>
      <c r="V13" s="71"/>
      <c r="X13">
        <f t="shared" si="10"/>
        <v>20.329999999999998</v>
      </c>
      <c r="Y13" s="4"/>
      <c r="Z13" s="7"/>
      <c r="AB13" s="4"/>
      <c r="AC13" s="2"/>
      <c r="AF13" s="4"/>
      <c r="AI13" s="4"/>
    </row>
    <row r="14" spans="2:37" x14ac:dyDescent="0.25">
      <c r="B14" s="39">
        <f t="shared" si="8"/>
        <v>35.33</v>
      </c>
      <c r="C14" s="113">
        <f t="shared" ref="C14:C34" si="14">(B14*$H$6)-((B14-$B$13)*2%)</f>
        <v>0.70000000000000007</v>
      </c>
      <c r="D14" s="29"/>
      <c r="E14" s="35">
        <f>E12+1</f>
        <v>15</v>
      </c>
      <c r="F14" s="46">
        <f t="shared" si="1"/>
        <v>0.57543164449476358</v>
      </c>
      <c r="G14" s="70"/>
      <c r="H14" s="84">
        <f t="shared" si="2"/>
        <v>0.4</v>
      </c>
      <c r="I14" s="85">
        <f t="shared" si="3"/>
        <v>0.40280215114633455</v>
      </c>
      <c r="J14" s="25"/>
      <c r="K14" s="124">
        <f t="shared" si="13"/>
        <v>0.02</v>
      </c>
      <c r="L14" s="96">
        <f t="shared" si="9"/>
        <v>1.9813189923577699E-2</v>
      </c>
      <c r="M14" s="100">
        <f t="shared" si="5"/>
        <v>-2.8021511463345306E-3</v>
      </c>
      <c r="N14" s="101">
        <f>((L14/$C$6)-1)</f>
        <v>-9.3405038211150648E-3</v>
      </c>
      <c r="R14" s="202"/>
      <c r="T14" s="18">
        <f t="shared" si="7"/>
        <v>0.57543164449476358</v>
      </c>
      <c r="U14" s="30"/>
      <c r="X14" s="6">
        <f t="shared" si="10"/>
        <v>20.329999999999998</v>
      </c>
      <c r="Y14" s="4">
        <f t="shared" ref="Y14:Y21" si="15">X14/B14</f>
        <v>0.57543164449476358</v>
      </c>
      <c r="Z14" s="12">
        <f t="shared" ref="Z14:Z21" si="16">AD14+AB14</f>
        <v>-3.7978488536654642E-3</v>
      </c>
      <c r="AB14" s="13">
        <f>I14-I12</f>
        <v>-3.7978488536654642E-3</v>
      </c>
      <c r="AC14" s="14">
        <f t="shared" ref="AC14:AC21" si="17" xml:space="preserve"> $E$6*I14</f>
        <v>13695.273138975375</v>
      </c>
      <c r="AF14" s="4">
        <f t="shared" ref="AF14:AF21" si="18">E14*$AK$5</f>
        <v>0.3</v>
      </c>
      <c r="AI14" s="4">
        <f>X14*$AK$5</f>
        <v>0.40659999999999996</v>
      </c>
      <c r="AK14">
        <v>40</v>
      </c>
    </row>
    <row r="15" spans="2:37" x14ac:dyDescent="0.25">
      <c r="B15" s="38">
        <f t="shared" si="8"/>
        <v>36.33</v>
      </c>
      <c r="C15" s="113">
        <f t="shared" si="14"/>
        <v>0.70000000000000007</v>
      </c>
      <c r="D15" s="29"/>
      <c r="E15" s="58">
        <f>E14+1</f>
        <v>16</v>
      </c>
      <c r="F15" s="44">
        <f t="shared" si="1"/>
        <v>0.55959262317643821</v>
      </c>
      <c r="G15" s="20"/>
      <c r="H15" s="84">
        <f t="shared" si="2"/>
        <v>0.38</v>
      </c>
      <c r="I15" s="85">
        <f t="shared" si="3"/>
        <v>0.39171483622350678</v>
      </c>
      <c r="J15" s="25"/>
      <c r="K15" s="124">
        <f t="shared" si="13"/>
        <v>0.02</v>
      </c>
      <c r="L15" s="96">
        <f t="shared" si="9"/>
        <v>1.926782273603083E-2</v>
      </c>
      <c r="M15" s="100">
        <f t="shared" ref="M15:M34" si="19">H15-I15</f>
        <v>-1.1714836223506775E-2</v>
      </c>
      <c r="N15" s="101">
        <f t="shared" ref="N15:N34" si="20">((L15/$C$6)-1)</f>
        <v>-3.6608863198458463E-2</v>
      </c>
      <c r="R15" s="71"/>
      <c r="T15" s="18">
        <f t="shared" si="7"/>
        <v>0.55959262317643821</v>
      </c>
      <c r="U15" s="24"/>
      <c r="X15">
        <f t="shared" si="10"/>
        <v>20.329999999999998</v>
      </c>
      <c r="Y15" s="4">
        <f t="shared" si="15"/>
        <v>0.55959262317643821</v>
      </c>
      <c r="Z15" s="7">
        <f t="shared" si="16"/>
        <v>0</v>
      </c>
      <c r="AB15" s="4"/>
      <c r="AC15" s="2">
        <f t="shared" si="17"/>
        <v>13318.30443159923</v>
      </c>
      <c r="AF15" s="4">
        <f t="shared" si="18"/>
        <v>0.32</v>
      </c>
      <c r="AI15" s="4">
        <f>X15*$AK$5</f>
        <v>0.40659999999999996</v>
      </c>
      <c r="AK15">
        <v>42.33</v>
      </c>
    </row>
    <row r="16" spans="2:37" x14ac:dyDescent="0.25">
      <c r="B16" s="38">
        <f t="shared" si="8"/>
        <v>37.33</v>
      </c>
      <c r="C16" s="113">
        <f t="shared" si="14"/>
        <v>0.7</v>
      </c>
      <c r="D16" s="29"/>
      <c r="E16" s="58">
        <f t="shared" si="12"/>
        <v>17</v>
      </c>
      <c r="F16" s="44">
        <f t="shared" si="1"/>
        <v>0.54460219662469866</v>
      </c>
      <c r="G16" s="20"/>
      <c r="H16" s="84">
        <f t="shared" si="2"/>
        <v>0.36</v>
      </c>
      <c r="I16" s="85">
        <f t="shared" si="3"/>
        <v>0.38122153763728905</v>
      </c>
      <c r="J16" s="15"/>
      <c r="K16" s="124">
        <f t="shared" si="13"/>
        <v>0.02</v>
      </c>
      <c r="L16" s="96">
        <f t="shared" si="9"/>
        <v>1.8751674256630057E-2</v>
      </c>
      <c r="M16" s="100">
        <f t="shared" si="19"/>
        <v>-2.1221537637289067E-2</v>
      </c>
      <c r="N16" s="101">
        <f t="shared" si="20"/>
        <v>-6.241628716849712E-2</v>
      </c>
      <c r="T16" s="18">
        <f t="shared" si="7"/>
        <v>0.54460219662469866</v>
      </c>
      <c r="U16" s="24"/>
      <c r="X16">
        <f t="shared" si="10"/>
        <v>20.329999999999998</v>
      </c>
      <c r="Y16" s="4">
        <f t="shared" si="15"/>
        <v>0.54460219662469866</v>
      </c>
      <c r="Z16" s="7">
        <f t="shared" si="16"/>
        <v>0</v>
      </c>
      <c r="AB16" s="4"/>
      <c r="AC16" s="2">
        <f t="shared" si="17"/>
        <v>12961.532279667828</v>
      </c>
      <c r="AF16" s="4">
        <f t="shared" si="18"/>
        <v>0.34</v>
      </c>
    </row>
    <row r="17" spans="2:32" x14ac:dyDescent="0.25">
      <c r="B17" s="38">
        <f t="shared" si="8"/>
        <v>38.33</v>
      </c>
      <c r="C17" s="113">
        <f t="shared" si="14"/>
        <v>0.7</v>
      </c>
      <c r="D17" s="29"/>
      <c r="E17" s="58">
        <f t="shared" si="12"/>
        <v>18</v>
      </c>
      <c r="F17" s="44">
        <f t="shared" si="1"/>
        <v>0.53039394729976519</v>
      </c>
      <c r="G17" s="21"/>
      <c r="H17" s="84">
        <f t="shared" si="2"/>
        <v>0.34</v>
      </c>
      <c r="I17" s="85">
        <f t="shared" si="3"/>
        <v>0.37127576310983562</v>
      </c>
      <c r="J17" s="15"/>
      <c r="K17" s="124">
        <f t="shared" si="13"/>
        <v>0.02</v>
      </c>
      <c r="L17" s="96">
        <f t="shared" si="9"/>
        <v>1.8262457605009132E-2</v>
      </c>
      <c r="M17" s="100">
        <f t="shared" si="19"/>
        <v>-3.1275763109835597E-2</v>
      </c>
      <c r="N17" s="101">
        <f t="shared" si="20"/>
        <v>-8.6877119749543374E-2</v>
      </c>
      <c r="T17" s="18">
        <f t="shared" si="7"/>
        <v>0.53039394729976519</v>
      </c>
      <c r="U17" s="24"/>
      <c r="X17">
        <f t="shared" si="10"/>
        <v>20.329999999999998</v>
      </c>
      <c r="Y17" s="4">
        <f t="shared" si="15"/>
        <v>0.53039394729976519</v>
      </c>
      <c r="Z17" s="7">
        <f t="shared" si="16"/>
        <v>0</v>
      </c>
      <c r="AB17" s="4"/>
      <c r="AC17" s="2">
        <f t="shared" si="17"/>
        <v>12623.375945734411</v>
      </c>
      <c r="AF17" s="4">
        <f t="shared" si="18"/>
        <v>0.36</v>
      </c>
    </row>
    <row r="18" spans="2:32" x14ac:dyDescent="0.25">
      <c r="B18" s="38">
        <f t="shared" si="8"/>
        <v>39.33</v>
      </c>
      <c r="C18" s="113">
        <f t="shared" si="14"/>
        <v>0.7</v>
      </c>
      <c r="D18" s="29"/>
      <c r="E18" s="58">
        <f t="shared" si="12"/>
        <v>19</v>
      </c>
      <c r="F18" s="44">
        <f t="shared" si="1"/>
        <v>0.51690821256038644</v>
      </c>
      <c r="G18" s="21"/>
      <c r="H18" s="84">
        <f t="shared" si="2"/>
        <v>0.32</v>
      </c>
      <c r="I18" s="85">
        <f t="shared" si="3"/>
        <v>0.36183574879227048</v>
      </c>
      <c r="J18" s="15"/>
      <c r="K18" s="124">
        <f t="shared" si="13"/>
        <v>0.02</v>
      </c>
      <c r="L18" s="96">
        <f t="shared" si="9"/>
        <v>1.7798118484617341E-2</v>
      </c>
      <c r="M18" s="100">
        <f t="shared" si="19"/>
        <v>-4.1835748792270477E-2</v>
      </c>
      <c r="N18" s="101">
        <f t="shared" si="20"/>
        <v>-0.11009407576913299</v>
      </c>
      <c r="T18" s="18">
        <f t="shared" si="7"/>
        <v>0.51690821256038644</v>
      </c>
      <c r="U18" s="24"/>
      <c r="X18">
        <f t="shared" si="10"/>
        <v>20.329999999999998</v>
      </c>
      <c r="Y18" s="4">
        <f t="shared" si="15"/>
        <v>0.51690821256038644</v>
      </c>
      <c r="Z18" s="7">
        <f t="shared" si="16"/>
        <v>0</v>
      </c>
      <c r="AB18" s="4"/>
      <c r="AC18" s="2">
        <f t="shared" si="17"/>
        <v>12302.415458937196</v>
      </c>
      <c r="AF18" s="4">
        <f t="shared" si="18"/>
        <v>0.38</v>
      </c>
    </row>
    <row r="19" spans="2:32" x14ac:dyDescent="0.25">
      <c r="B19" s="38">
        <f t="shared" si="8"/>
        <v>40.33</v>
      </c>
      <c r="C19" s="113">
        <f t="shared" si="14"/>
        <v>0.7</v>
      </c>
      <c r="D19" s="29"/>
      <c r="E19" s="58">
        <f t="shared" si="12"/>
        <v>20</v>
      </c>
      <c r="F19" s="44">
        <f t="shared" si="1"/>
        <v>0.50409124721051324</v>
      </c>
      <c r="G19" s="21"/>
      <c r="H19" s="84">
        <f t="shared" si="2"/>
        <v>0.3</v>
      </c>
      <c r="I19" s="85">
        <f t="shared" si="3"/>
        <v>0.35286387304735922</v>
      </c>
      <c r="J19" s="15"/>
      <c r="K19" s="124">
        <f t="shared" si="13"/>
        <v>0.02</v>
      </c>
      <c r="L19" s="96">
        <f t="shared" si="9"/>
        <v>1.7356806347632033E-2</v>
      </c>
      <c r="M19" s="100">
        <f t="shared" si="19"/>
        <v>-5.2863873047359233E-2</v>
      </c>
      <c r="N19" s="101">
        <f t="shared" si="20"/>
        <v>-0.13215968261839839</v>
      </c>
      <c r="T19" s="18">
        <f t="shared" si="7"/>
        <v>0.50409124721051324</v>
      </c>
      <c r="U19" s="24"/>
      <c r="X19">
        <f t="shared" si="10"/>
        <v>20.329999999999998</v>
      </c>
      <c r="Y19" s="4">
        <f t="shared" si="15"/>
        <v>0.50409124721051324</v>
      </c>
      <c r="Z19" s="7">
        <f t="shared" si="16"/>
        <v>0</v>
      </c>
      <c r="AB19" s="4"/>
      <c r="AC19" s="2">
        <f t="shared" si="17"/>
        <v>11997.371683610214</v>
      </c>
      <c r="AF19" s="4">
        <f t="shared" si="18"/>
        <v>0.4</v>
      </c>
    </row>
    <row r="20" spans="2:32" x14ac:dyDescent="0.25">
      <c r="B20" s="38">
        <f t="shared" si="8"/>
        <v>41.33</v>
      </c>
      <c r="C20" s="113">
        <f t="shared" si="14"/>
        <v>0.70000000000000007</v>
      </c>
      <c r="D20" s="29"/>
      <c r="E20" s="58">
        <f t="shared" si="12"/>
        <v>21</v>
      </c>
      <c r="F20" s="44">
        <f t="shared" si="1"/>
        <v>0.49189450762158238</v>
      </c>
      <c r="G20" s="21"/>
      <c r="H20" s="84">
        <f t="shared" si="2"/>
        <v>0.28000000000000003</v>
      </c>
      <c r="I20" s="85">
        <f t="shared" si="3"/>
        <v>0.34432615533510769</v>
      </c>
      <c r="J20" s="15"/>
      <c r="K20" s="124">
        <f t="shared" si="13"/>
        <v>0.02</v>
      </c>
      <c r="L20" s="96">
        <f t="shared" si="9"/>
        <v>1.6936849745947256E-2</v>
      </c>
      <c r="M20" s="100">
        <f t="shared" si="19"/>
        <v>-6.432615533510766E-2</v>
      </c>
      <c r="N20" s="101">
        <f t="shared" si="20"/>
        <v>-0.15315751270263722</v>
      </c>
      <c r="T20" s="18">
        <f t="shared" si="7"/>
        <v>0.49189450762158238</v>
      </c>
      <c r="U20" s="24"/>
      <c r="X20">
        <f t="shared" si="10"/>
        <v>20.329999999999998</v>
      </c>
      <c r="Y20" s="4">
        <f t="shared" si="15"/>
        <v>0.49189450762158238</v>
      </c>
      <c r="Z20" s="7">
        <f t="shared" si="16"/>
        <v>0</v>
      </c>
      <c r="AB20" s="4"/>
      <c r="AC20" s="2">
        <f t="shared" si="17"/>
        <v>11707.089281393661</v>
      </c>
      <c r="AF20" s="4">
        <f t="shared" si="18"/>
        <v>0.42</v>
      </c>
    </row>
    <row r="21" spans="2:32" x14ac:dyDescent="0.25">
      <c r="B21" s="38">
        <f>X21+E21+0.33</f>
        <v>42.66</v>
      </c>
      <c r="C21" s="113">
        <f t="shared" si="14"/>
        <v>0.7</v>
      </c>
      <c r="D21" s="29"/>
      <c r="E21" s="58">
        <f t="shared" si="12"/>
        <v>22</v>
      </c>
      <c r="F21" s="44">
        <f t="shared" si="1"/>
        <v>0.47655883731833099</v>
      </c>
      <c r="G21" s="21"/>
      <c r="H21" s="84">
        <f t="shared" si="2"/>
        <v>0.25340000000000001</v>
      </c>
      <c r="I21" s="85">
        <f t="shared" si="3"/>
        <v>0.33359118612283167</v>
      </c>
      <c r="J21" s="15"/>
      <c r="K21" s="124">
        <f t="shared" si="13"/>
        <v>1.9999999999999997E-2</v>
      </c>
      <c r="L21" s="96">
        <f t="shared" si="9"/>
        <v>1.6408813877168308E-2</v>
      </c>
      <c r="M21" s="100">
        <f t="shared" si="19"/>
        <v>-8.0191186122831659E-2</v>
      </c>
      <c r="N21" s="101">
        <f t="shared" si="20"/>
        <v>-0.17955930614158466</v>
      </c>
      <c r="T21" s="18">
        <f t="shared" si="7"/>
        <v>0.47655883731833099</v>
      </c>
      <c r="U21" s="24"/>
      <c r="X21">
        <f t="shared" si="10"/>
        <v>20.329999999999998</v>
      </c>
      <c r="Y21" s="4">
        <f t="shared" si="15"/>
        <v>0.47655883731833099</v>
      </c>
      <c r="Z21" s="7">
        <f t="shared" si="16"/>
        <v>0</v>
      </c>
      <c r="AB21" s="4"/>
      <c r="AC21" s="2">
        <f t="shared" si="17"/>
        <v>11342.100328176277</v>
      </c>
      <c r="AF21" s="4">
        <f t="shared" si="18"/>
        <v>0.44</v>
      </c>
    </row>
    <row r="22" spans="2:32" ht="14.4" thickBot="1" x14ac:dyDescent="0.3">
      <c r="B22" s="38">
        <f>X22+E22+0.33</f>
        <v>43</v>
      </c>
      <c r="C22" s="113">
        <f t="shared" si="14"/>
        <v>0.7</v>
      </c>
      <c r="D22" s="29"/>
      <c r="E22" s="58">
        <f>E21+0.34</f>
        <v>22.34</v>
      </c>
      <c r="F22" s="44">
        <f t="shared" si="1"/>
        <v>0.47279069767441856</v>
      </c>
      <c r="G22" s="20"/>
      <c r="H22" s="84">
        <f t="shared" si="2"/>
        <v>0.24659999999999996</v>
      </c>
      <c r="I22" s="88">
        <f t="shared" si="3"/>
        <v>0.33095348837209299</v>
      </c>
      <c r="J22" s="25"/>
      <c r="K22" s="124">
        <f t="shared" si="13"/>
        <v>0.02</v>
      </c>
      <c r="L22" s="96">
        <f t="shared" si="9"/>
        <v>1.627906976744186E-2</v>
      </c>
      <c r="M22" s="100">
        <f t="shared" si="19"/>
        <v>-8.4353488372093027E-2</v>
      </c>
      <c r="N22" s="101">
        <f t="shared" si="20"/>
        <v>-0.18604651162790697</v>
      </c>
      <c r="T22" s="18">
        <f t="shared" si="7"/>
        <v>0.47279069767441856</v>
      </c>
      <c r="U22" s="24"/>
      <c r="X22">
        <f t="shared" si="10"/>
        <v>20.329999999999998</v>
      </c>
      <c r="Y22" s="4"/>
      <c r="Z22" s="7"/>
      <c r="AB22" s="4"/>
      <c r="AC22" s="2"/>
      <c r="AF22" s="4"/>
    </row>
    <row r="23" spans="2:32" ht="14.4" thickBot="1" x14ac:dyDescent="0.3">
      <c r="B23" s="38">
        <f t="shared" ref="B23:B30" si="21">X23+E23</f>
        <v>43.33</v>
      </c>
      <c r="C23" s="113">
        <f t="shared" si="14"/>
        <v>0.70000000000000007</v>
      </c>
      <c r="D23" s="29"/>
      <c r="E23" s="58">
        <f>E21+1</f>
        <v>23</v>
      </c>
      <c r="F23" s="44">
        <f t="shared" si="1"/>
        <v>0.46918993768751438</v>
      </c>
      <c r="G23" s="21"/>
      <c r="H23" s="84">
        <f t="shared" ref="H23:H34" si="22">(($C$6*($B$6-($B23-$B$13))))</f>
        <v>0.24</v>
      </c>
      <c r="I23" s="85">
        <f t="shared" si="3"/>
        <v>0.32843295638126008</v>
      </c>
      <c r="J23" s="15"/>
      <c r="K23" s="124">
        <f t="shared" si="13"/>
        <v>0.02</v>
      </c>
      <c r="L23" s="96">
        <f t="shared" si="9"/>
        <v>1.6155088852988692E-2</v>
      </c>
      <c r="M23" s="100">
        <f t="shared" si="19"/>
        <v>-8.8432956381260086E-2</v>
      </c>
      <c r="N23" s="104">
        <f t="shared" si="20"/>
        <v>-0.19224555735056548</v>
      </c>
      <c r="T23" s="18">
        <f t="shared" si="7"/>
        <v>0.46918993768751432</v>
      </c>
      <c r="U23" s="24"/>
      <c r="X23">
        <f t="shared" si="10"/>
        <v>20.329999999999998</v>
      </c>
      <c r="Y23" s="4">
        <f t="shared" ref="Y23:Y30" si="23">X23/B23</f>
        <v>0.46918993768751438</v>
      </c>
      <c r="Z23" s="7">
        <f t="shared" ref="Z23:Z30" si="24">AD23+AB23</f>
        <v>0</v>
      </c>
      <c r="AB23" s="4"/>
      <c r="AC23" s="2">
        <f t="shared" ref="AC23:AC30" si="25" xml:space="preserve"> $E$6*I23</f>
        <v>11166.720516962843</v>
      </c>
      <c r="AF23" s="4">
        <f t="shared" ref="AF23:AF30" si="26">E23*$AK$5</f>
        <v>0.46</v>
      </c>
    </row>
    <row r="24" spans="2:32" x14ac:dyDescent="0.25">
      <c r="B24" s="38">
        <f t="shared" si="21"/>
        <v>44.33</v>
      </c>
      <c r="C24" s="113">
        <f t="shared" si="14"/>
        <v>0.7</v>
      </c>
      <c r="D24" s="29"/>
      <c r="E24" s="58">
        <f t="shared" si="12"/>
        <v>24</v>
      </c>
      <c r="F24" s="44">
        <f t="shared" si="1"/>
        <v>0.45860591021881342</v>
      </c>
      <c r="G24" s="21"/>
      <c r="H24" s="84">
        <f>(($C$6*($B$6-($B24-$B$13))))</f>
        <v>0.22</v>
      </c>
      <c r="I24" s="85">
        <f t="shared" si="3"/>
        <v>0.32102413715316935</v>
      </c>
      <c r="J24" s="15"/>
      <c r="K24" s="124">
        <f t="shared" si="13"/>
        <v>0.02</v>
      </c>
      <c r="L24" s="196">
        <f t="shared" ref="L24:L34" si="27">I24/E24</f>
        <v>1.3376005714715389E-2</v>
      </c>
      <c r="M24" s="100">
        <f t="shared" si="19"/>
        <v>-0.10102413715316935</v>
      </c>
      <c r="N24" s="101">
        <f t="shared" si="20"/>
        <v>-0.33119971426423056</v>
      </c>
      <c r="T24" s="18">
        <f t="shared" si="7"/>
        <v>0.45860591021881342</v>
      </c>
      <c r="U24" s="24"/>
      <c r="X24">
        <f t="shared" si="10"/>
        <v>20.329999999999998</v>
      </c>
      <c r="Y24" s="4">
        <f t="shared" si="23"/>
        <v>0.45860591021881342</v>
      </c>
      <c r="Z24" s="7">
        <f t="shared" si="24"/>
        <v>0</v>
      </c>
      <c r="AB24" s="4"/>
      <c r="AC24" s="2">
        <f t="shared" si="25"/>
        <v>10914.820663207758</v>
      </c>
      <c r="AF24" s="4">
        <f t="shared" si="26"/>
        <v>0.48</v>
      </c>
    </row>
    <row r="25" spans="2:32" x14ac:dyDescent="0.25">
      <c r="B25" s="38">
        <f t="shared" si="21"/>
        <v>45.33</v>
      </c>
      <c r="C25" s="113">
        <f t="shared" si="14"/>
        <v>0.7</v>
      </c>
      <c r="D25" s="29"/>
      <c r="E25" s="58">
        <f t="shared" si="12"/>
        <v>25</v>
      </c>
      <c r="F25" s="44">
        <f t="shared" si="1"/>
        <v>0.44848885947496137</v>
      </c>
      <c r="G25" s="21"/>
      <c r="H25" s="84">
        <f t="shared" si="22"/>
        <v>0.2</v>
      </c>
      <c r="I25" s="85">
        <f t="shared" si="3"/>
        <v>0.31394220163247294</v>
      </c>
      <c r="J25" s="15"/>
      <c r="K25" s="124">
        <f t="shared" si="13"/>
        <v>0.02</v>
      </c>
      <c r="L25" s="197">
        <f t="shared" si="27"/>
        <v>1.2557688065298918E-2</v>
      </c>
      <c r="M25" s="100">
        <f t="shared" si="19"/>
        <v>-0.11394220163247293</v>
      </c>
      <c r="N25" s="101">
        <f t="shared" si="20"/>
        <v>-0.37211559673505412</v>
      </c>
      <c r="T25" s="18">
        <f t="shared" si="7"/>
        <v>0.44848885947496137</v>
      </c>
      <c r="U25" s="24"/>
      <c r="X25">
        <f t="shared" si="10"/>
        <v>20.329999999999998</v>
      </c>
      <c r="Y25" s="4">
        <f t="shared" si="23"/>
        <v>0.44848885947496137</v>
      </c>
      <c r="Z25" s="7">
        <f t="shared" si="24"/>
        <v>0</v>
      </c>
      <c r="AB25" s="4"/>
      <c r="AC25" s="2">
        <f t="shared" si="25"/>
        <v>10674.03485550408</v>
      </c>
      <c r="AF25" s="4">
        <f t="shared" si="26"/>
        <v>0.5</v>
      </c>
    </row>
    <row r="26" spans="2:32" x14ac:dyDescent="0.25">
      <c r="B26" s="38">
        <f t="shared" si="21"/>
        <v>46.33</v>
      </c>
      <c r="C26" s="113">
        <f t="shared" si="14"/>
        <v>0.7</v>
      </c>
      <c r="D26" s="29"/>
      <c r="E26" s="58">
        <f t="shared" si="12"/>
        <v>26</v>
      </c>
      <c r="F26" s="44">
        <f t="shared" si="1"/>
        <v>0.43880854737750913</v>
      </c>
      <c r="G26" s="21"/>
      <c r="H26" s="84">
        <f>(($C$6*($B$6-($B26-$B$13))))</f>
        <v>0.18</v>
      </c>
      <c r="I26" s="85">
        <f t="shared" si="3"/>
        <v>0.30716598316425636</v>
      </c>
      <c r="J26" s="15"/>
      <c r="K26" s="124">
        <f t="shared" si="13"/>
        <v>0.02</v>
      </c>
      <c r="L26" s="196">
        <f t="shared" si="27"/>
        <v>1.1814076275548322E-2</v>
      </c>
      <c r="M26" s="100">
        <f t="shared" si="19"/>
        <v>-0.12716598316425637</v>
      </c>
      <c r="N26" s="101">
        <f t="shared" si="20"/>
        <v>-0.4092961862225839</v>
      </c>
      <c r="T26" s="18">
        <f t="shared" si="7"/>
        <v>0.43880854737750913</v>
      </c>
      <c r="U26" s="24"/>
      <c r="X26">
        <f t="shared" si="10"/>
        <v>20.329999999999998</v>
      </c>
      <c r="Y26" s="4">
        <f t="shared" si="23"/>
        <v>0.43880854737750913</v>
      </c>
      <c r="Z26" s="7">
        <f t="shared" si="24"/>
        <v>0</v>
      </c>
      <c r="AB26" s="4"/>
      <c r="AC26" s="2">
        <f t="shared" si="25"/>
        <v>10443.643427584717</v>
      </c>
      <c r="AF26" s="4">
        <f t="shared" si="26"/>
        <v>0.52</v>
      </c>
    </row>
    <row r="27" spans="2:32" x14ac:dyDescent="0.25">
      <c r="B27" s="38">
        <f t="shared" si="21"/>
        <v>47.33</v>
      </c>
      <c r="C27" s="113">
        <f t="shared" si="14"/>
        <v>0.70000000000000007</v>
      </c>
      <c r="D27" s="29"/>
      <c r="E27" s="58">
        <f t="shared" si="12"/>
        <v>27</v>
      </c>
      <c r="F27" s="44">
        <f t="shared" si="1"/>
        <v>0.42953729135854635</v>
      </c>
      <c r="G27" s="21"/>
      <c r="H27" s="84">
        <f t="shared" si="22"/>
        <v>0.16</v>
      </c>
      <c r="I27" s="85">
        <f t="shared" si="3"/>
        <v>0.30067610395098249</v>
      </c>
      <c r="J27" s="15"/>
      <c r="K27" s="124">
        <f t="shared" si="13"/>
        <v>0.02</v>
      </c>
      <c r="L27" s="196">
        <f t="shared" si="27"/>
        <v>1.1136151998184537E-2</v>
      </c>
      <c r="M27" s="100">
        <f t="shared" si="19"/>
        <v>-0.14067610395098248</v>
      </c>
      <c r="N27" s="101">
        <f t="shared" si="20"/>
        <v>-0.44319240009077321</v>
      </c>
      <c r="T27" s="18">
        <f t="shared" si="7"/>
        <v>0.42953729135854635</v>
      </c>
      <c r="U27" s="24"/>
      <c r="X27">
        <f t="shared" si="10"/>
        <v>20.329999999999998</v>
      </c>
      <c r="Y27" s="4">
        <f t="shared" si="23"/>
        <v>0.42953729135854635</v>
      </c>
      <c r="Z27" s="7">
        <f t="shared" si="24"/>
        <v>0</v>
      </c>
      <c r="AB27" s="4"/>
      <c r="AC27" s="2">
        <f t="shared" si="25"/>
        <v>10222.987534333404</v>
      </c>
      <c r="AF27" s="4">
        <f t="shared" si="26"/>
        <v>0.54</v>
      </c>
    </row>
    <row r="28" spans="2:32" x14ac:dyDescent="0.25">
      <c r="B28" s="38">
        <f t="shared" si="21"/>
        <v>48.33</v>
      </c>
      <c r="C28" s="113">
        <f t="shared" si="14"/>
        <v>0.70000000000000007</v>
      </c>
      <c r="D28" s="29"/>
      <c r="E28" s="58">
        <f t="shared" si="12"/>
        <v>28</v>
      </c>
      <c r="F28" s="44">
        <f t="shared" si="1"/>
        <v>0.4206496999793089</v>
      </c>
      <c r="G28" s="21"/>
      <c r="H28" s="84">
        <f t="shared" si="22"/>
        <v>0.14000000000000001</v>
      </c>
      <c r="I28" s="85">
        <f t="shared" si="3"/>
        <v>0.29445478998551627</v>
      </c>
      <c r="J28" s="15"/>
      <c r="K28" s="124">
        <f t="shared" si="13"/>
        <v>0.02</v>
      </c>
      <c r="L28" s="197">
        <f t="shared" si="27"/>
        <v>1.0516242499482725E-2</v>
      </c>
      <c r="M28" s="100">
        <f t="shared" si="19"/>
        <v>-0.15445478998551626</v>
      </c>
      <c r="N28" s="101">
        <f t="shared" si="20"/>
        <v>-0.47418787502586379</v>
      </c>
      <c r="T28" s="18">
        <f t="shared" si="7"/>
        <v>0.4206496999793089</v>
      </c>
      <c r="U28" s="24"/>
      <c r="X28">
        <f t="shared" si="10"/>
        <v>20.329999999999998</v>
      </c>
      <c r="Y28" s="4">
        <f t="shared" si="23"/>
        <v>0.4206496999793089</v>
      </c>
      <c r="Z28" s="7">
        <f t="shared" si="24"/>
        <v>0</v>
      </c>
      <c r="AB28" s="4"/>
      <c r="AC28" s="2">
        <f t="shared" si="25"/>
        <v>10011.462859507554</v>
      </c>
      <c r="AF28" s="4">
        <f t="shared" si="26"/>
        <v>0.56000000000000005</v>
      </c>
    </row>
    <row r="29" spans="2:32" x14ac:dyDescent="0.25">
      <c r="B29" s="38">
        <f t="shared" si="21"/>
        <v>49.33</v>
      </c>
      <c r="C29" s="113">
        <f t="shared" si="14"/>
        <v>0.70000000000000007</v>
      </c>
      <c r="D29" s="29"/>
      <c r="E29" s="58">
        <f t="shared" si="12"/>
        <v>29</v>
      </c>
      <c r="F29" s="44">
        <f t="shared" si="1"/>
        <v>0.41212244070545306</v>
      </c>
      <c r="G29" s="21"/>
      <c r="H29" s="84">
        <f t="shared" si="22"/>
        <v>0.12</v>
      </c>
      <c r="I29" s="85">
        <f t="shared" si="3"/>
        <v>0.28848570849381716</v>
      </c>
      <c r="J29" s="15"/>
      <c r="K29" s="124">
        <f t="shared" si="13"/>
        <v>0.02</v>
      </c>
      <c r="L29" s="196">
        <f t="shared" si="27"/>
        <v>9.9477830515109361E-3</v>
      </c>
      <c r="M29" s="100">
        <f t="shared" si="19"/>
        <v>-0.16848570849381717</v>
      </c>
      <c r="N29" s="101">
        <f t="shared" si="20"/>
        <v>-0.50261084742445328</v>
      </c>
      <c r="T29" s="18">
        <f t="shared" si="7"/>
        <v>0.41212244070545306</v>
      </c>
      <c r="U29" s="24"/>
      <c r="X29">
        <f t="shared" si="10"/>
        <v>20.329999999999998</v>
      </c>
      <c r="Y29" s="4">
        <f t="shared" si="23"/>
        <v>0.41212244070545306</v>
      </c>
      <c r="Z29" s="7">
        <f t="shared" si="24"/>
        <v>0</v>
      </c>
      <c r="AB29" s="4"/>
      <c r="AC29" s="2">
        <f t="shared" si="25"/>
        <v>9808.5140887897833</v>
      </c>
      <c r="AF29" s="4">
        <f t="shared" si="26"/>
        <v>0.57999999999999996</v>
      </c>
    </row>
    <row r="30" spans="2:32" x14ac:dyDescent="0.25">
      <c r="B30" s="38">
        <f t="shared" si="21"/>
        <v>50.33</v>
      </c>
      <c r="C30" s="113">
        <f t="shared" si="14"/>
        <v>0.7</v>
      </c>
      <c r="D30" s="29"/>
      <c r="E30" s="58">
        <f t="shared" si="12"/>
        <v>30</v>
      </c>
      <c r="F30" s="44">
        <f t="shared" si="1"/>
        <v>0.40393403536658057</v>
      </c>
      <c r="G30" s="21"/>
      <c r="H30" s="84">
        <f t="shared" si="22"/>
        <v>0.1</v>
      </c>
      <c r="I30" s="85">
        <f t="shared" si="3"/>
        <v>0.28275382475660638</v>
      </c>
      <c r="J30" s="15"/>
      <c r="K30" s="124">
        <f t="shared" si="13"/>
        <v>0.02</v>
      </c>
      <c r="L30" s="196">
        <f t="shared" si="27"/>
        <v>9.4251274918868786E-3</v>
      </c>
      <c r="M30" s="100">
        <f t="shared" si="19"/>
        <v>-0.18275382475660637</v>
      </c>
      <c r="N30" s="101">
        <f t="shared" si="20"/>
        <v>-0.52874362540565611</v>
      </c>
      <c r="T30" s="18">
        <f t="shared" si="7"/>
        <v>0.40393403536658057</v>
      </c>
      <c r="U30" s="24"/>
      <c r="X30">
        <f t="shared" si="10"/>
        <v>20.329999999999998</v>
      </c>
      <c r="Y30" s="4">
        <f t="shared" si="23"/>
        <v>0.40393403536658057</v>
      </c>
      <c r="Z30" s="7">
        <f t="shared" si="24"/>
        <v>0</v>
      </c>
      <c r="AB30" s="4"/>
      <c r="AC30" s="2">
        <f t="shared" si="25"/>
        <v>9613.6300417246166</v>
      </c>
      <c r="AF30" s="4">
        <f t="shared" si="26"/>
        <v>0.6</v>
      </c>
    </row>
    <row r="31" spans="2:32" x14ac:dyDescent="0.25">
      <c r="B31" s="38">
        <v>55</v>
      </c>
      <c r="C31" s="113">
        <f t="shared" si="14"/>
        <v>0.70000000000000007</v>
      </c>
      <c r="D31" s="29"/>
      <c r="E31" s="58">
        <f t="shared" si="12"/>
        <v>31</v>
      </c>
      <c r="F31" s="44">
        <f t="shared" si="1"/>
        <v>0.3696363636363636</v>
      </c>
      <c r="G31" s="21"/>
      <c r="H31" s="84">
        <f t="shared" si="22"/>
        <v>6.5999999999999661E-3</v>
      </c>
      <c r="I31" s="85">
        <f t="shared" si="3"/>
        <v>0.25874545454545456</v>
      </c>
      <c r="J31" s="15"/>
      <c r="K31" s="124">
        <f t="shared" si="13"/>
        <v>0.02</v>
      </c>
      <c r="L31" s="196">
        <f t="shared" si="27"/>
        <v>8.3466275659824056E-3</v>
      </c>
      <c r="M31" s="100">
        <f t="shared" si="19"/>
        <v>-0.25214545454545462</v>
      </c>
      <c r="N31" s="101">
        <f t="shared" si="20"/>
        <v>-0.58266862170087974</v>
      </c>
      <c r="T31" s="18">
        <f t="shared" si="7"/>
        <v>0.3696363636363636</v>
      </c>
    </row>
    <row r="32" spans="2:32" x14ac:dyDescent="0.25">
      <c r="B32" s="38">
        <v>60</v>
      </c>
      <c r="C32" s="113">
        <f t="shared" si="14"/>
        <v>0.7</v>
      </c>
      <c r="D32" s="29"/>
      <c r="E32" s="58">
        <f t="shared" si="12"/>
        <v>32</v>
      </c>
      <c r="F32" s="44">
        <f t="shared" si="1"/>
        <v>0.33883333333333332</v>
      </c>
      <c r="G32" s="21"/>
      <c r="H32" s="84">
        <f t="shared" si="22"/>
        <v>-9.3400000000000039E-2</v>
      </c>
      <c r="I32" s="85">
        <f t="shared" si="3"/>
        <v>0.2371833333333333</v>
      </c>
      <c r="J32" s="15"/>
      <c r="K32" s="124">
        <f t="shared" si="13"/>
        <v>0.02</v>
      </c>
      <c r="L32" s="196">
        <f t="shared" si="27"/>
        <v>7.4119791666666657E-3</v>
      </c>
      <c r="M32" s="100">
        <f t="shared" si="19"/>
        <v>-0.33058333333333334</v>
      </c>
      <c r="N32" s="101">
        <f t="shared" si="20"/>
        <v>-0.62940104166666666</v>
      </c>
      <c r="T32" s="18">
        <f t="shared" si="7"/>
        <v>0.33883333333333332</v>
      </c>
    </row>
    <row r="33" spans="2:20" x14ac:dyDescent="0.25">
      <c r="B33" s="38">
        <v>65</v>
      </c>
      <c r="C33" s="113">
        <f t="shared" si="14"/>
        <v>0.70000000000000007</v>
      </c>
      <c r="D33" s="29"/>
      <c r="E33" s="58">
        <f t="shared" si="12"/>
        <v>33</v>
      </c>
      <c r="F33" s="44">
        <f t="shared" si="1"/>
        <v>0.31276923076923074</v>
      </c>
      <c r="G33" s="21"/>
      <c r="H33" s="84">
        <f t="shared" si="22"/>
        <v>-0.19340000000000004</v>
      </c>
      <c r="I33" s="85">
        <f t="shared" si="3"/>
        <v>0.21893846153846155</v>
      </c>
      <c r="J33" s="15"/>
      <c r="K33" s="124">
        <f t="shared" si="13"/>
        <v>0.02</v>
      </c>
      <c r="L33" s="197">
        <f t="shared" si="27"/>
        <v>6.6344988344988346E-3</v>
      </c>
      <c r="M33" s="100">
        <f t="shared" si="19"/>
        <v>-0.4123384615384616</v>
      </c>
      <c r="N33" s="101">
        <f t="shared" si="20"/>
        <v>-0.66827505827505829</v>
      </c>
      <c r="T33" s="18">
        <f t="shared" si="7"/>
        <v>0.31276923076923074</v>
      </c>
    </row>
    <row r="34" spans="2:20" ht="14.4" thickBot="1" x14ac:dyDescent="0.3">
      <c r="B34" s="40">
        <v>70</v>
      </c>
      <c r="C34" s="114">
        <f t="shared" si="14"/>
        <v>0.70000000000000007</v>
      </c>
      <c r="D34" s="56"/>
      <c r="E34" s="59">
        <f t="shared" si="12"/>
        <v>34</v>
      </c>
      <c r="F34" s="48">
        <f t="shared" si="1"/>
        <v>0.29042857142857142</v>
      </c>
      <c r="G34" s="148"/>
      <c r="H34" s="90">
        <f t="shared" si="22"/>
        <v>-0.29340000000000005</v>
      </c>
      <c r="I34" s="91">
        <f t="shared" si="3"/>
        <v>0.20330000000000001</v>
      </c>
      <c r="J34" s="149"/>
      <c r="K34" s="211">
        <f t="shared" si="13"/>
        <v>0.02</v>
      </c>
      <c r="L34" s="198">
        <f t="shared" si="27"/>
        <v>5.9794117647058824E-3</v>
      </c>
      <c r="M34" s="102">
        <f t="shared" si="19"/>
        <v>-0.49670000000000003</v>
      </c>
      <c r="N34" s="103">
        <f t="shared" si="20"/>
        <v>-0.7010294117647059</v>
      </c>
      <c r="T34" s="18">
        <f t="shared" si="7"/>
        <v>0.29042857142857142</v>
      </c>
    </row>
    <row r="35" spans="2:20" x14ac:dyDescent="0.25">
      <c r="B35" s="7"/>
      <c r="C35" s="29"/>
      <c r="D35" s="29"/>
      <c r="F35" s="21"/>
      <c r="G35" s="21"/>
      <c r="H35" s="21"/>
      <c r="I35" s="15"/>
      <c r="J35" s="15"/>
      <c r="K35" s="15"/>
      <c r="L35" s="150"/>
      <c r="M35" s="121" t="s">
        <v>52</v>
      </c>
      <c r="N35" s="121"/>
      <c r="T35" s="24"/>
    </row>
    <row r="36" spans="2:20" x14ac:dyDescent="0.25">
      <c r="B36" s="7"/>
      <c r="C36" s="27"/>
      <c r="D36" s="29"/>
      <c r="M36" s="121" t="s">
        <v>52</v>
      </c>
      <c r="N3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73C8-BB6C-4C2E-ADEB-D044E499B35D}">
  <dimension ref="B1:AK37"/>
  <sheetViews>
    <sheetView rightToLeft="1" workbookViewId="0">
      <selection activeCell="T5" sqref="T5"/>
    </sheetView>
  </sheetViews>
  <sheetFormatPr defaultRowHeight="13.85" x14ac:dyDescent="0.25"/>
  <cols>
    <col min="1" max="1" width="8.6328125" customWidth="1"/>
    <col min="2" max="2" width="8.90625" customWidth="1"/>
    <col min="3" max="3" width="7.6328125" customWidth="1"/>
    <col min="4" max="4" width="1.36328125" customWidth="1"/>
    <col min="5" max="5" width="8.36328125" style="7" customWidth="1"/>
    <col min="6" max="6" width="9.453125" customWidth="1"/>
    <col min="7" max="7" width="1.26953125" customWidth="1"/>
    <col min="8" max="8" width="8.26953125" customWidth="1"/>
    <col min="9" max="9" width="10.36328125" customWidth="1"/>
    <col min="10" max="10" width="1.26953125" customWidth="1"/>
    <col min="11" max="11" width="6.90625" customWidth="1"/>
    <col min="12" max="12" width="10.453125" customWidth="1"/>
    <col min="13" max="13" width="8.81640625" customWidth="1"/>
    <col min="14" max="14" width="10.1796875" customWidth="1"/>
    <col min="20" max="22" width="7.453125" customWidth="1"/>
    <col min="24" max="28" width="8.81640625" customWidth="1"/>
    <col min="29" max="29" width="9.81640625" customWidth="1"/>
    <col min="30" max="30" width="9" customWidth="1"/>
    <col min="31" max="31" width="7.90625" customWidth="1"/>
    <col min="32" max="32" width="8.6328125" customWidth="1"/>
    <col min="36" max="36" width="9.6328125" bestFit="1" customWidth="1"/>
  </cols>
  <sheetData>
    <row r="1" spans="2:37" ht="18.45" thickBot="1" x14ac:dyDescent="0.4">
      <c r="B1" s="36" t="s">
        <v>40</v>
      </c>
      <c r="H1" s="36" t="s">
        <v>45</v>
      </c>
    </row>
    <row r="2" spans="2:37" ht="18.45" thickBot="1" x14ac:dyDescent="0.4">
      <c r="B2" s="68" t="s">
        <v>38</v>
      </c>
      <c r="C2" s="74"/>
      <c r="D2" s="72"/>
      <c r="E2" s="65" t="s">
        <v>41</v>
      </c>
      <c r="F2" s="67"/>
      <c r="H2" s="68" t="s">
        <v>36</v>
      </c>
      <c r="I2" s="76" t="s">
        <v>46</v>
      </c>
      <c r="J2" s="36"/>
      <c r="K2" s="68"/>
      <c r="L2" s="182"/>
      <c r="M2" s="74" t="s">
        <v>37</v>
      </c>
      <c r="N2" s="69"/>
      <c r="T2" s="36"/>
    </row>
    <row r="3" spans="2:37" ht="14.4" thickBot="1" x14ac:dyDescent="0.3">
      <c r="B3" s="139">
        <v>1</v>
      </c>
      <c r="C3" s="144">
        <v>2</v>
      </c>
      <c r="D3" s="8"/>
      <c r="E3" s="50">
        <v>3</v>
      </c>
      <c r="F3" s="61">
        <v>4</v>
      </c>
      <c r="G3" s="8"/>
      <c r="H3" s="51">
        <v>5</v>
      </c>
      <c r="I3" s="51">
        <v>6</v>
      </c>
      <c r="J3" s="8"/>
      <c r="K3" s="160">
        <v>7</v>
      </c>
      <c r="L3" s="157">
        <v>8</v>
      </c>
      <c r="M3" s="157">
        <v>9</v>
      </c>
      <c r="N3" s="156">
        <v>10</v>
      </c>
      <c r="U3" s="8"/>
    </row>
    <row r="4" spans="2:37" x14ac:dyDescent="0.25">
      <c r="B4" s="38" t="s">
        <v>5</v>
      </c>
      <c r="C4" s="176" t="s">
        <v>3</v>
      </c>
      <c r="D4" s="174"/>
      <c r="E4" s="106" t="s">
        <v>14</v>
      </c>
      <c r="F4" s="57" t="s">
        <v>26</v>
      </c>
      <c r="G4" s="5"/>
      <c r="H4" s="78" t="s">
        <v>22</v>
      </c>
      <c r="I4" s="79" t="s">
        <v>7</v>
      </c>
      <c r="J4" s="92"/>
      <c r="K4" s="179" t="s">
        <v>56</v>
      </c>
      <c r="L4" s="146"/>
      <c r="M4" s="126" t="s">
        <v>43</v>
      </c>
      <c r="N4" s="168" t="s">
        <v>42</v>
      </c>
      <c r="X4" t="s">
        <v>16</v>
      </c>
      <c r="Y4" s="5" t="s">
        <v>11</v>
      </c>
      <c r="Z4" t="s">
        <v>5</v>
      </c>
      <c r="AB4" s="1" t="s">
        <v>12</v>
      </c>
      <c r="AC4" t="s">
        <v>6</v>
      </c>
      <c r="AD4" t="s">
        <v>9</v>
      </c>
      <c r="AE4" t="s">
        <v>3</v>
      </c>
      <c r="AF4" s="3" t="s">
        <v>4</v>
      </c>
      <c r="AH4" t="s">
        <v>3</v>
      </c>
      <c r="AI4" t="s">
        <v>2</v>
      </c>
      <c r="AJ4" t="s">
        <v>1</v>
      </c>
      <c r="AK4" t="s">
        <v>5</v>
      </c>
    </row>
    <row r="5" spans="2:37" x14ac:dyDescent="0.25">
      <c r="B5" s="177" t="s">
        <v>30</v>
      </c>
      <c r="C5" s="151" t="s">
        <v>39</v>
      </c>
      <c r="D5" s="34"/>
      <c r="E5" s="115" t="s">
        <v>25</v>
      </c>
      <c r="F5" s="41" t="s">
        <v>29</v>
      </c>
      <c r="G5" s="5"/>
      <c r="H5" s="52">
        <v>0.02</v>
      </c>
      <c r="I5" s="80" t="s">
        <v>8</v>
      </c>
      <c r="J5" s="31"/>
      <c r="K5" s="159" t="s">
        <v>53</v>
      </c>
      <c r="L5" s="78"/>
      <c r="M5" s="7" t="s">
        <v>19</v>
      </c>
      <c r="N5" s="169" t="s">
        <v>33</v>
      </c>
      <c r="T5" s="10"/>
      <c r="U5" s="1"/>
      <c r="X5" s="9">
        <v>10000</v>
      </c>
      <c r="Y5" s="9" t="s">
        <v>15</v>
      </c>
      <c r="Z5" s="8" t="s">
        <v>10</v>
      </c>
      <c r="AB5" s="11" t="s">
        <v>13</v>
      </c>
      <c r="AC5" s="11" t="s">
        <v>8</v>
      </c>
      <c r="AK5" s="1">
        <v>0.02</v>
      </c>
    </row>
    <row r="6" spans="2:37" x14ac:dyDescent="0.25">
      <c r="B6" s="178">
        <v>20.329999999999998</v>
      </c>
      <c r="C6" s="175">
        <v>0.02</v>
      </c>
      <c r="D6" s="34"/>
      <c r="E6" s="116">
        <v>34000</v>
      </c>
      <c r="F6" s="42" t="s">
        <v>15</v>
      </c>
      <c r="G6" s="9"/>
      <c r="H6" s="53" t="s">
        <v>24</v>
      </c>
      <c r="I6" s="81" t="s">
        <v>28</v>
      </c>
      <c r="J6" s="8"/>
      <c r="K6" s="160" t="s">
        <v>55</v>
      </c>
      <c r="L6" s="131" t="s">
        <v>28</v>
      </c>
      <c r="M6" s="11" t="s">
        <v>35</v>
      </c>
      <c r="N6" s="170" t="s">
        <v>34</v>
      </c>
      <c r="T6" s="10"/>
      <c r="U6" s="10"/>
      <c r="X6" s="9"/>
      <c r="Y6" s="9"/>
      <c r="Z6" s="8"/>
      <c r="AB6" s="11"/>
      <c r="AC6" s="11"/>
      <c r="AK6" s="1"/>
    </row>
    <row r="7" spans="2:37" x14ac:dyDescent="0.25">
      <c r="B7" s="117" t="s">
        <v>57</v>
      </c>
      <c r="C7" s="109" t="s">
        <v>31</v>
      </c>
      <c r="D7" s="55"/>
      <c r="E7" s="117"/>
      <c r="F7" s="43" t="s">
        <v>32</v>
      </c>
      <c r="G7" s="75"/>
      <c r="H7" s="82" t="s">
        <v>20</v>
      </c>
      <c r="I7" s="83" t="s">
        <v>49</v>
      </c>
      <c r="J7" s="26"/>
      <c r="K7" s="180" t="s">
        <v>54</v>
      </c>
      <c r="L7" s="123" t="s">
        <v>23</v>
      </c>
      <c r="M7" s="26" t="s">
        <v>44</v>
      </c>
      <c r="N7" s="123" t="s">
        <v>58</v>
      </c>
      <c r="T7" s="19"/>
      <c r="U7" s="10"/>
      <c r="X7" s="33">
        <v>20.329999999999998</v>
      </c>
      <c r="Y7" s="9"/>
      <c r="Z7" s="8"/>
      <c r="AB7" s="11"/>
      <c r="AC7" s="11"/>
      <c r="AK7" s="1"/>
    </row>
    <row r="8" spans="2:37" x14ac:dyDescent="0.25">
      <c r="B8" s="38">
        <v>30.33</v>
      </c>
      <c r="C8" s="110">
        <f t="shared" ref="C8:C13" si="0">B8*$H$5</f>
        <v>0.60660000000000003</v>
      </c>
      <c r="D8" s="15"/>
      <c r="E8" s="38">
        <f>B8-X8</f>
        <v>10</v>
      </c>
      <c r="F8" s="44">
        <f t="shared" ref="F8:F13" si="1">E8/B8</f>
        <v>0.32970656116056712</v>
      </c>
      <c r="G8" s="21"/>
      <c r="H8" s="84">
        <f t="shared" ref="H8:H13" si="2">E8*$H$5</f>
        <v>0.2</v>
      </c>
      <c r="I8" s="85">
        <f t="shared" ref="I8:I13" si="3">F8*C8</f>
        <v>0.20000000000000004</v>
      </c>
      <c r="J8" s="15"/>
      <c r="K8" s="183">
        <f t="shared" ref="K8:K13" si="4">H8/E8</f>
        <v>0.02</v>
      </c>
      <c r="L8" s="183">
        <f t="shared" ref="L8:L13" si="5">I8/E8</f>
        <v>2.0000000000000004E-2</v>
      </c>
      <c r="M8" s="122">
        <f t="shared" ref="M8:M13" si="6">H8-I8</f>
        <v>0</v>
      </c>
      <c r="N8" s="124">
        <f t="shared" ref="N8:N14" si="7">((L8/$C$6)-1)*-1</f>
        <v>-2.2204460492503131E-16</v>
      </c>
      <c r="T8" s="22"/>
      <c r="U8" s="22"/>
      <c r="X8">
        <v>20.329999999999998</v>
      </c>
      <c r="Y8" s="4">
        <f>X8/B8</f>
        <v>0.67029343883943293</v>
      </c>
      <c r="Z8" s="7">
        <f>AD8+AB8</f>
        <v>0</v>
      </c>
      <c r="AB8" s="4"/>
      <c r="AC8" s="2">
        <f xml:space="preserve"> $E$6*I8</f>
        <v>6800.0000000000009</v>
      </c>
      <c r="AE8" s="5">
        <f>E6*I8</f>
        <v>6800.0000000000009</v>
      </c>
      <c r="AH8" s="5">
        <f>X5*AI8</f>
        <v>4065.9999999999995</v>
      </c>
      <c r="AI8" s="4">
        <f>X8*$AK$5</f>
        <v>0.40659999999999996</v>
      </c>
      <c r="AK8">
        <v>30</v>
      </c>
    </row>
    <row r="9" spans="2:37" x14ac:dyDescent="0.25">
      <c r="B9" s="38">
        <f>X9+E9</f>
        <v>31.33</v>
      </c>
      <c r="C9" s="110">
        <f t="shared" si="0"/>
        <v>0.62659999999999993</v>
      </c>
      <c r="D9" s="15"/>
      <c r="E9" s="38">
        <f>E8+1</f>
        <v>11</v>
      </c>
      <c r="F9" s="44">
        <f t="shared" si="1"/>
        <v>0.35110118097669968</v>
      </c>
      <c r="G9" s="21"/>
      <c r="H9" s="84">
        <f t="shared" si="2"/>
        <v>0.22</v>
      </c>
      <c r="I9" s="85">
        <f t="shared" si="3"/>
        <v>0.22</v>
      </c>
      <c r="J9" s="15"/>
      <c r="K9" s="183">
        <f t="shared" si="4"/>
        <v>0.02</v>
      </c>
      <c r="L9" s="183">
        <f t="shared" si="5"/>
        <v>0.02</v>
      </c>
      <c r="M9" s="122">
        <f t="shared" si="6"/>
        <v>0</v>
      </c>
      <c r="N9" s="124">
        <f t="shared" si="7"/>
        <v>0</v>
      </c>
      <c r="T9" s="22"/>
      <c r="U9" s="22"/>
      <c r="X9">
        <f>+$X$8</f>
        <v>20.329999999999998</v>
      </c>
      <c r="Y9" s="4">
        <f>X9/B9</f>
        <v>0.64889881902330038</v>
      </c>
      <c r="Z9" s="7">
        <f>AD9+AB9</f>
        <v>1.9999999999999962E-2</v>
      </c>
      <c r="AB9" s="4">
        <f>I9-I8</f>
        <v>1.9999999999999962E-2</v>
      </c>
      <c r="AC9" s="2">
        <f xml:space="preserve"> $E$6*I9</f>
        <v>7480</v>
      </c>
      <c r="AF9" s="4">
        <f>E9*$AK$5</f>
        <v>0.22</v>
      </c>
      <c r="AH9" s="5">
        <f t="shared" ref="AH9:AH11" si="8">AI8*AI9</f>
        <v>0.16532355999999998</v>
      </c>
      <c r="AI9" s="4">
        <f>X9*$AK$5</f>
        <v>0.40659999999999996</v>
      </c>
      <c r="AK9">
        <v>31</v>
      </c>
    </row>
    <row r="10" spans="2:37" x14ac:dyDescent="0.25">
      <c r="B10" s="38">
        <f>X10+E10</f>
        <v>32.33</v>
      </c>
      <c r="C10" s="110">
        <f t="shared" si="0"/>
        <v>0.64659999999999995</v>
      </c>
      <c r="D10" s="15"/>
      <c r="E10" s="38">
        <f t="shared" ref="E10:E31" si="9">E9+1</f>
        <v>12</v>
      </c>
      <c r="F10" s="44">
        <f t="shared" si="1"/>
        <v>0.3711722858026601</v>
      </c>
      <c r="G10" s="21"/>
      <c r="H10" s="84">
        <f t="shared" si="2"/>
        <v>0.24</v>
      </c>
      <c r="I10" s="85">
        <f t="shared" si="3"/>
        <v>0.24</v>
      </c>
      <c r="J10" s="15"/>
      <c r="K10" s="183">
        <f t="shared" si="4"/>
        <v>0.02</v>
      </c>
      <c r="L10" s="183">
        <f t="shared" si="5"/>
        <v>0.02</v>
      </c>
      <c r="M10" s="122">
        <f t="shared" si="6"/>
        <v>0</v>
      </c>
      <c r="N10" s="124">
        <f t="shared" si="7"/>
        <v>0</v>
      </c>
      <c r="T10" s="22"/>
      <c r="U10" s="22"/>
      <c r="X10">
        <f>+$X$8</f>
        <v>20.329999999999998</v>
      </c>
      <c r="Y10" s="4">
        <f>X10/B10</f>
        <v>0.62882771419733996</v>
      </c>
      <c r="Z10" s="7">
        <f>AD10+AB10</f>
        <v>1.999999999999999E-2</v>
      </c>
      <c r="AB10" s="4">
        <f>I10-I9</f>
        <v>1.999999999999999E-2</v>
      </c>
      <c r="AC10" s="2">
        <f xml:space="preserve"> $E$6*I10</f>
        <v>8160</v>
      </c>
      <c r="AF10" s="4">
        <f>E10*$AK$5</f>
        <v>0.24</v>
      </c>
      <c r="AH10" s="5">
        <f t="shared" si="8"/>
        <v>0.16532355999999998</v>
      </c>
      <c r="AI10" s="4">
        <f>X10*$AK$5</f>
        <v>0.40659999999999996</v>
      </c>
      <c r="AK10">
        <v>35</v>
      </c>
    </row>
    <row r="11" spans="2:37" x14ac:dyDescent="0.25">
      <c r="B11" s="38">
        <f>X11+E11</f>
        <v>33.33</v>
      </c>
      <c r="C11" s="110">
        <f t="shared" si="0"/>
        <v>0.66659999999999997</v>
      </c>
      <c r="D11" s="15"/>
      <c r="E11" s="38">
        <f t="shared" si="9"/>
        <v>13</v>
      </c>
      <c r="F11" s="44">
        <f t="shared" si="1"/>
        <v>0.39003900390039004</v>
      </c>
      <c r="G11" s="21"/>
      <c r="H11" s="84">
        <f t="shared" si="2"/>
        <v>0.26</v>
      </c>
      <c r="I11" s="85">
        <f t="shared" si="3"/>
        <v>0.26</v>
      </c>
      <c r="J11" s="15"/>
      <c r="K11" s="183">
        <f t="shared" si="4"/>
        <v>0.02</v>
      </c>
      <c r="L11" s="183">
        <f t="shared" si="5"/>
        <v>0.02</v>
      </c>
      <c r="M11" s="122">
        <f t="shared" si="6"/>
        <v>0</v>
      </c>
      <c r="N11" s="124">
        <f t="shared" si="7"/>
        <v>0</v>
      </c>
      <c r="T11" s="23"/>
      <c r="U11" s="23"/>
      <c r="X11">
        <f>+$X$8</f>
        <v>20.329999999999998</v>
      </c>
      <c r="Y11" s="4">
        <f>X11/B11</f>
        <v>0.60996099609960996</v>
      </c>
      <c r="Z11" s="7">
        <f>AD11+AB11</f>
        <v>2.0000000000000018E-2</v>
      </c>
      <c r="AB11" s="4">
        <f>I11-I10</f>
        <v>2.0000000000000018E-2</v>
      </c>
      <c r="AC11" s="2">
        <f xml:space="preserve"> $E$6*I11</f>
        <v>8840</v>
      </c>
      <c r="AF11" s="4">
        <f>E11*$AK$5</f>
        <v>0.26</v>
      </c>
      <c r="AH11" s="5">
        <f t="shared" si="8"/>
        <v>0.16532355999999998</v>
      </c>
      <c r="AI11" s="4">
        <f>X11*$AK$5</f>
        <v>0.40659999999999996</v>
      </c>
      <c r="AK11">
        <v>36</v>
      </c>
    </row>
    <row r="12" spans="2:37" ht="14.4" thickBot="1" x14ac:dyDescent="0.3">
      <c r="B12" s="38">
        <f>X12+E12</f>
        <v>34.33</v>
      </c>
      <c r="C12" s="110">
        <f t="shared" si="0"/>
        <v>0.68659999999999999</v>
      </c>
      <c r="D12" s="15"/>
      <c r="E12" s="38">
        <f t="shared" si="9"/>
        <v>14</v>
      </c>
      <c r="F12" s="44">
        <f t="shared" si="1"/>
        <v>0.40780658316341395</v>
      </c>
      <c r="G12" s="21"/>
      <c r="H12" s="84">
        <f t="shared" si="2"/>
        <v>0.28000000000000003</v>
      </c>
      <c r="I12" s="85">
        <f t="shared" si="3"/>
        <v>0.28000000000000003</v>
      </c>
      <c r="J12" s="15"/>
      <c r="K12" s="183">
        <f t="shared" si="4"/>
        <v>0.02</v>
      </c>
      <c r="L12" s="183">
        <f t="shared" si="5"/>
        <v>0.02</v>
      </c>
      <c r="M12" s="122">
        <f t="shared" si="6"/>
        <v>0</v>
      </c>
      <c r="N12" s="124">
        <f t="shared" si="7"/>
        <v>0</v>
      </c>
      <c r="T12" s="22"/>
      <c r="U12" s="22"/>
      <c r="V12" s="71"/>
      <c r="X12">
        <f>+$X$8</f>
        <v>20.329999999999998</v>
      </c>
      <c r="Y12" s="4">
        <f>X12/B12</f>
        <v>0.59219341683658611</v>
      </c>
      <c r="Z12" s="7">
        <f>AD12+AB12</f>
        <v>2.0000000000000018E-2</v>
      </c>
      <c r="AB12" s="4">
        <f>I12-I11</f>
        <v>2.0000000000000018E-2</v>
      </c>
      <c r="AC12" s="2">
        <f xml:space="preserve"> $E$6*I12</f>
        <v>9520</v>
      </c>
      <c r="AF12" s="4">
        <f>E12*$AK$5</f>
        <v>0.28000000000000003</v>
      </c>
      <c r="AI12" s="4">
        <f>X12*$AK$5</f>
        <v>0.40659999999999996</v>
      </c>
      <c r="AK12">
        <v>38</v>
      </c>
    </row>
    <row r="13" spans="2:37" ht="14.4" thickBot="1" x14ac:dyDescent="0.3">
      <c r="B13" s="111">
        <f>X13+E13</f>
        <v>35</v>
      </c>
      <c r="C13" s="112">
        <f t="shared" si="0"/>
        <v>0.70000000000000007</v>
      </c>
      <c r="D13" s="32"/>
      <c r="E13" s="118">
        <f>E12+0.67</f>
        <v>14.67</v>
      </c>
      <c r="F13" s="188">
        <f t="shared" si="1"/>
        <v>0.41914285714285715</v>
      </c>
      <c r="G13" s="49"/>
      <c r="H13" s="86">
        <f t="shared" si="2"/>
        <v>0.29339999999999999</v>
      </c>
      <c r="I13" s="87">
        <f t="shared" si="3"/>
        <v>0.29340000000000005</v>
      </c>
      <c r="J13" s="93"/>
      <c r="K13" s="184">
        <f t="shared" si="4"/>
        <v>0.02</v>
      </c>
      <c r="L13" s="184">
        <f t="shared" si="5"/>
        <v>2.0000000000000004E-2</v>
      </c>
      <c r="M13" s="127">
        <f t="shared" si="6"/>
        <v>0</v>
      </c>
      <c r="N13" s="125">
        <f t="shared" si="7"/>
        <v>-2.2204460492503131E-16</v>
      </c>
      <c r="T13" s="212"/>
      <c r="U13" s="22"/>
      <c r="V13" s="71"/>
      <c r="X13">
        <f>+$X$8</f>
        <v>20.329999999999998</v>
      </c>
      <c r="Y13" s="4"/>
      <c r="Z13" s="7"/>
      <c r="AB13" s="4"/>
      <c r="AC13" s="2"/>
      <c r="AF13" s="4"/>
      <c r="AI13" s="4"/>
    </row>
    <row r="14" spans="2:37" ht="4.05" customHeight="1" thickBot="1" x14ac:dyDescent="0.3">
      <c r="B14" s="39"/>
      <c r="C14" s="112"/>
      <c r="D14" s="32"/>
      <c r="E14" s="119"/>
      <c r="F14" s="45"/>
      <c r="G14" s="49"/>
      <c r="H14" s="86"/>
      <c r="I14" s="87"/>
      <c r="J14" s="93"/>
      <c r="K14" s="183"/>
      <c r="L14" s="132"/>
      <c r="M14" s="128"/>
      <c r="N14" s="164">
        <f t="shared" si="7"/>
        <v>1</v>
      </c>
      <c r="T14" s="212"/>
      <c r="U14" s="22"/>
      <c r="Y14" s="4"/>
      <c r="Z14" s="7"/>
      <c r="AB14" s="4"/>
      <c r="AC14" s="2"/>
      <c r="AF14" s="4"/>
      <c r="AI14" s="4"/>
    </row>
    <row r="15" spans="2:37" x14ac:dyDescent="0.25">
      <c r="B15" s="39">
        <f t="shared" ref="B15:B21" si="10">X15+E15</f>
        <v>35.33</v>
      </c>
      <c r="C15" s="113">
        <f t="shared" ref="C15:C35" si="11">(B15*$H$5)-((B15-$B$13)*2%)</f>
        <v>0.70000000000000007</v>
      </c>
      <c r="D15" s="29"/>
      <c r="E15" s="120">
        <f>E12+1</f>
        <v>15</v>
      </c>
      <c r="F15" s="46">
        <f>E15/B15</f>
        <v>0.42456835550523636</v>
      </c>
      <c r="G15" s="70"/>
      <c r="H15" s="84">
        <f t="shared" ref="H15:H35" si="12">E15*$H$5</f>
        <v>0.3</v>
      </c>
      <c r="I15" s="88">
        <f t="shared" ref="I15:I35" si="13">F15*C15</f>
        <v>0.29719784885366546</v>
      </c>
      <c r="J15" s="25"/>
      <c r="K15" s="183">
        <f t="shared" ref="K15:K35" si="14">H15/E15</f>
        <v>0.02</v>
      </c>
      <c r="L15" s="185">
        <f t="shared" ref="L15:L35" si="15">I15/E15</f>
        <v>1.9813189923577699E-2</v>
      </c>
      <c r="M15" s="162">
        <f t="shared" ref="M15:M35" si="16">-H15+I15</f>
        <v>-2.8021511463345306E-3</v>
      </c>
      <c r="N15" s="165">
        <f>((L15/$C$6)-1)</f>
        <v>-9.3405038211150648E-3</v>
      </c>
      <c r="T15" s="24"/>
      <c r="U15" s="30"/>
      <c r="X15" s="6">
        <f t="shared" ref="X15:X31" si="17">+$X$8</f>
        <v>20.329999999999998</v>
      </c>
      <c r="Y15" s="4">
        <f t="shared" ref="Y15:Y22" si="18">X15/B15</f>
        <v>0.57543164449476358</v>
      </c>
      <c r="Z15" s="12">
        <f t="shared" ref="Z15:Z22" si="19">AD15+AB15</f>
        <v>1.7197848853665432E-2</v>
      </c>
      <c r="AB15" s="13">
        <f>I15-I12</f>
        <v>1.7197848853665432E-2</v>
      </c>
      <c r="AC15" s="14">
        <f t="shared" ref="AC15:AC22" si="20" xml:space="preserve"> $E$6*I15</f>
        <v>10104.726861024626</v>
      </c>
      <c r="AF15" s="4">
        <f t="shared" ref="AF15:AF22" si="21">E15*$AK$5</f>
        <v>0.3</v>
      </c>
      <c r="AI15" s="4">
        <f>X15*$AK$5</f>
        <v>0.40659999999999996</v>
      </c>
      <c r="AK15">
        <v>40</v>
      </c>
    </row>
    <row r="16" spans="2:37" x14ac:dyDescent="0.25">
      <c r="B16" s="38">
        <f t="shared" si="10"/>
        <v>36.33</v>
      </c>
      <c r="C16" s="113">
        <f t="shared" si="11"/>
        <v>0.70000000000000007</v>
      </c>
      <c r="D16" s="29"/>
      <c r="E16" s="38">
        <f>E15+1</f>
        <v>16</v>
      </c>
      <c r="F16" s="47">
        <f t="shared" ref="F16:F31" si="22">E16/B16</f>
        <v>0.44040737682356179</v>
      </c>
      <c r="G16" s="20"/>
      <c r="H16" s="84">
        <f t="shared" si="12"/>
        <v>0.32</v>
      </c>
      <c r="I16" s="88">
        <f t="shared" si="13"/>
        <v>0.30828516377649329</v>
      </c>
      <c r="J16" s="25"/>
      <c r="K16" s="183">
        <f t="shared" si="14"/>
        <v>0.02</v>
      </c>
      <c r="L16" s="185">
        <f t="shared" si="15"/>
        <v>1.926782273603083E-2</v>
      </c>
      <c r="M16" s="162">
        <f t="shared" si="16"/>
        <v>-1.1714836223506719E-2</v>
      </c>
      <c r="N16" s="165">
        <f t="shared" ref="N16:N35" si="23">((L16/$C$6)-1)</f>
        <v>-3.6608863198458463E-2</v>
      </c>
      <c r="T16" s="24"/>
      <c r="U16" s="24"/>
      <c r="X16">
        <f t="shared" si="17"/>
        <v>20.329999999999998</v>
      </c>
      <c r="Y16" s="4">
        <f t="shared" si="18"/>
        <v>0.55959262317643821</v>
      </c>
      <c r="Z16" s="7">
        <f t="shared" si="19"/>
        <v>0</v>
      </c>
      <c r="AB16" s="4"/>
      <c r="AC16" s="2">
        <f t="shared" si="20"/>
        <v>10481.695568400772</v>
      </c>
      <c r="AF16" s="4">
        <f t="shared" si="21"/>
        <v>0.32</v>
      </c>
      <c r="AI16" s="4">
        <f>X16*$AK$5</f>
        <v>0.40659999999999996</v>
      </c>
      <c r="AK16">
        <v>42.33</v>
      </c>
    </row>
    <row r="17" spans="2:32" x14ac:dyDescent="0.25">
      <c r="B17" s="38">
        <f t="shared" si="10"/>
        <v>37.33</v>
      </c>
      <c r="C17" s="113">
        <f t="shared" si="11"/>
        <v>0.7</v>
      </c>
      <c r="D17" s="29"/>
      <c r="E17" s="38">
        <f t="shared" si="9"/>
        <v>17</v>
      </c>
      <c r="F17" s="47">
        <f t="shared" si="22"/>
        <v>0.45539780337530139</v>
      </c>
      <c r="G17" s="20"/>
      <c r="H17" s="84">
        <f t="shared" si="12"/>
        <v>0.34</v>
      </c>
      <c r="I17" s="85">
        <f t="shared" si="13"/>
        <v>0.31877846236271096</v>
      </c>
      <c r="J17" s="15"/>
      <c r="K17" s="183">
        <f t="shared" si="14"/>
        <v>0.02</v>
      </c>
      <c r="L17" s="185">
        <f t="shared" si="15"/>
        <v>1.8751674256630057E-2</v>
      </c>
      <c r="M17" s="162">
        <f t="shared" si="16"/>
        <v>-2.1221537637289067E-2</v>
      </c>
      <c r="N17" s="165">
        <f t="shared" si="23"/>
        <v>-6.241628716849712E-2</v>
      </c>
      <c r="T17" s="24"/>
      <c r="U17" s="24"/>
      <c r="X17">
        <f t="shared" si="17"/>
        <v>20.329999999999998</v>
      </c>
      <c r="Y17" s="4">
        <f t="shared" si="18"/>
        <v>0.54460219662469866</v>
      </c>
      <c r="Z17" s="7">
        <f t="shared" si="19"/>
        <v>0</v>
      </c>
      <c r="AB17" s="4"/>
      <c r="AC17" s="2">
        <f t="shared" si="20"/>
        <v>10838.467720332172</v>
      </c>
      <c r="AF17" s="4">
        <f t="shared" si="21"/>
        <v>0.34</v>
      </c>
    </row>
    <row r="18" spans="2:32" x14ac:dyDescent="0.25">
      <c r="B18" s="38">
        <f t="shared" si="10"/>
        <v>38.33</v>
      </c>
      <c r="C18" s="113">
        <f t="shared" si="11"/>
        <v>0.7</v>
      </c>
      <c r="D18" s="29"/>
      <c r="E18" s="38">
        <f t="shared" si="9"/>
        <v>18</v>
      </c>
      <c r="F18" s="44">
        <f t="shared" si="22"/>
        <v>0.46960605270023481</v>
      </c>
      <c r="G18" s="21"/>
      <c r="H18" s="84">
        <f t="shared" si="12"/>
        <v>0.36</v>
      </c>
      <c r="I18" s="85">
        <f t="shared" si="13"/>
        <v>0.32872423689016433</v>
      </c>
      <c r="J18" s="15"/>
      <c r="K18" s="183">
        <f t="shared" si="14"/>
        <v>0.02</v>
      </c>
      <c r="L18" s="185">
        <f t="shared" si="15"/>
        <v>1.8262457605009129E-2</v>
      </c>
      <c r="M18" s="162">
        <f t="shared" si="16"/>
        <v>-3.1275763109835653E-2</v>
      </c>
      <c r="N18" s="165">
        <f t="shared" si="23"/>
        <v>-8.6877119749543597E-2</v>
      </c>
      <c r="T18" s="24"/>
      <c r="U18" s="24"/>
      <c r="X18">
        <f t="shared" si="17"/>
        <v>20.329999999999998</v>
      </c>
      <c r="Y18" s="4">
        <f t="shared" si="18"/>
        <v>0.53039394729976519</v>
      </c>
      <c r="Z18" s="7">
        <f t="shared" si="19"/>
        <v>0</v>
      </c>
      <c r="AB18" s="4"/>
      <c r="AC18" s="2">
        <f t="shared" si="20"/>
        <v>11176.624054265587</v>
      </c>
      <c r="AF18" s="4">
        <f t="shared" si="21"/>
        <v>0.36</v>
      </c>
    </row>
    <row r="19" spans="2:32" x14ac:dyDescent="0.25">
      <c r="B19" s="38">
        <f t="shared" si="10"/>
        <v>39.33</v>
      </c>
      <c r="C19" s="113">
        <f t="shared" si="11"/>
        <v>0.7</v>
      </c>
      <c r="D19" s="29"/>
      <c r="E19" s="38">
        <f t="shared" si="9"/>
        <v>19</v>
      </c>
      <c r="F19" s="44">
        <f t="shared" si="22"/>
        <v>0.48309178743961356</v>
      </c>
      <c r="G19" s="21"/>
      <c r="H19" s="84">
        <f t="shared" si="12"/>
        <v>0.38</v>
      </c>
      <c r="I19" s="85">
        <f t="shared" si="13"/>
        <v>0.33816425120772947</v>
      </c>
      <c r="J19" s="15"/>
      <c r="K19" s="184">
        <f t="shared" si="14"/>
        <v>0.02</v>
      </c>
      <c r="L19" s="185">
        <f t="shared" si="15"/>
        <v>1.7798118484617341E-2</v>
      </c>
      <c r="M19" s="162">
        <f t="shared" si="16"/>
        <v>-4.1835748792270533E-2</v>
      </c>
      <c r="N19" s="165">
        <f t="shared" si="23"/>
        <v>-0.11009407576913299</v>
      </c>
      <c r="T19" s="24"/>
      <c r="U19" s="24"/>
      <c r="X19">
        <f t="shared" si="17"/>
        <v>20.329999999999998</v>
      </c>
      <c r="Y19" s="4">
        <f t="shared" si="18"/>
        <v>0.51690821256038644</v>
      </c>
      <c r="Z19" s="7">
        <f t="shared" si="19"/>
        <v>0</v>
      </c>
      <c r="AB19" s="4"/>
      <c r="AC19" s="2">
        <f t="shared" si="20"/>
        <v>11497.584541062803</v>
      </c>
      <c r="AF19" s="4">
        <f t="shared" si="21"/>
        <v>0.38</v>
      </c>
    </row>
    <row r="20" spans="2:32" x14ac:dyDescent="0.25">
      <c r="B20" s="38">
        <f t="shared" si="10"/>
        <v>40.33</v>
      </c>
      <c r="C20" s="113">
        <f t="shared" si="11"/>
        <v>0.7</v>
      </c>
      <c r="D20" s="29"/>
      <c r="E20" s="38">
        <f t="shared" si="9"/>
        <v>20</v>
      </c>
      <c r="F20" s="44">
        <f t="shared" si="22"/>
        <v>0.49590875278948676</v>
      </c>
      <c r="G20" s="21"/>
      <c r="H20" s="84">
        <f t="shared" si="12"/>
        <v>0.4</v>
      </c>
      <c r="I20" s="85">
        <f t="shared" si="13"/>
        <v>0.34713612695264073</v>
      </c>
      <c r="J20" s="15"/>
      <c r="K20" s="183">
        <f t="shared" si="14"/>
        <v>0.02</v>
      </c>
      <c r="L20" s="185">
        <f t="shared" si="15"/>
        <v>1.7356806347632037E-2</v>
      </c>
      <c r="M20" s="162">
        <f t="shared" si="16"/>
        <v>-5.2863873047359289E-2</v>
      </c>
      <c r="N20" s="165">
        <f t="shared" si="23"/>
        <v>-0.13215968261839817</v>
      </c>
      <c r="T20" s="24"/>
      <c r="U20" s="24"/>
      <c r="X20">
        <f t="shared" si="17"/>
        <v>20.329999999999998</v>
      </c>
      <c r="Y20" s="4">
        <f t="shared" si="18"/>
        <v>0.50409124721051324</v>
      </c>
      <c r="Z20" s="7">
        <f t="shared" si="19"/>
        <v>0</v>
      </c>
      <c r="AB20" s="4"/>
      <c r="AC20" s="2">
        <f t="shared" si="20"/>
        <v>11802.628316389784</v>
      </c>
      <c r="AF20" s="4">
        <f t="shared" si="21"/>
        <v>0.4</v>
      </c>
    </row>
    <row r="21" spans="2:32" ht="14.4" thickBot="1" x14ac:dyDescent="0.3">
      <c r="B21" s="38">
        <f t="shared" si="10"/>
        <v>41.33</v>
      </c>
      <c r="C21" s="113">
        <f t="shared" si="11"/>
        <v>0.70000000000000007</v>
      </c>
      <c r="D21" s="29"/>
      <c r="E21" s="38">
        <f t="shared" si="9"/>
        <v>21</v>
      </c>
      <c r="F21" s="44">
        <f t="shared" si="22"/>
        <v>0.50810549237841762</v>
      </c>
      <c r="G21" s="21"/>
      <c r="H21" s="84">
        <f t="shared" si="12"/>
        <v>0.42</v>
      </c>
      <c r="I21" s="85">
        <f t="shared" si="13"/>
        <v>0.35567384466489238</v>
      </c>
      <c r="J21" s="15"/>
      <c r="K21" s="183">
        <f t="shared" si="14"/>
        <v>0.02</v>
      </c>
      <c r="L21" s="185">
        <f t="shared" si="15"/>
        <v>1.6936849745947256E-2</v>
      </c>
      <c r="M21" s="162">
        <f t="shared" si="16"/>
        <v>-6.4326155335107604E-2</v>
      </c>
      <c r="N21" s="165">
        <f t="shared" si="23"/>
        <v>-0.15315751270263722</v>
      </c>
      <c r="T21" s="24"/>
      <c r="U21" s="24"/>
      <c r="X21">
        <f t="shared" si="17"/>
        <v>20.329999999999998</v>
      </c>
      <c r="Y21" s="4">
        <f t="shared" si="18"/>
        <v>0.49189450762158238</v>
      </c>
      <c r="Z21" s="7">
        <f t="shared" si="19"/>
        <v>0</v>
      </c>
      <c r="AB21" s="4"/>
      <c r="AC21" s="2">
        <f t="shared" si="20"/>
        <v>12092.910718606341</v>
      </c>
      <c r="AF21" s="4">
        <f t="shared" si="21"/>
        <v>0.42</v>
      </c>
    </row>
    <row r="22" spans="2:32" ht="14.4" thickBot="1" x14ac:dyDescent="0.3">
      <c r="B22" s="171">
        <f>X22+E22+0.33</f>
        <v>42.66</v>
      </c>
      <c r="C22" s="172">
        <f t="shared" si="11"/>
        <v>0.7</v>
      </c>
      <c r="D22" s="29"/>
      <c r="E22" s="171">
        <f t="shared" si="9"/>
        <v>22</v>
      </c>
      <c r="F22" s="173">
        <f t="shared" si="22"/>
        <v>0.51570557899671832</v>
      </c>
      <c r="G22" s="21"/>
      <c r="H22" s="133">
        <f t="shared" si="12"/>
        <v>0.44</v>
      </c>
      <c r="I22" s="134">
        <f t="shared" si="13"/>
        <v>0.36099390529770281</v>
      </c>
      <c r="J22" s="15"/>
      <c r="K22" s="181">
        <f t="shared" si="14"/>
        <v>0.02</v>
      </c>
      <c r="L22" s="186">
        <f t="shared" si="15"/>
        <v>1.6408813877168308E-2</v>
      </c>
      <c r="M22" s="163">
        <f t="shared" si="16"/>
        <v>-7.9006094702297192E-2</v>
      </c>
      <c r="N22" s="166">
        <f t="shared" si="23"/>
        <v>-0.17955930614158466</v>
      </c>
      <c r="T22" s="24"/>
      <c r="U22" s="24"/>
      <c r="X22">
        <f t="shared" si="17"/>
        <v>20.329999999999998</v>
      </c>
      <c r="Y22" s="4">
        <f t="shared" si="18"/>
        <v>0.47655883731833099</v>
      </c>
      <c r="Z22" s="7">
        <f t="shared" si="19"/>
        <v>0</v>
      </c>
      <c r="AB22" s="4"/>
      <c r="AC22" s="2">
        <f t="shared" si="20"/>
        <v>12273.792780121896</v>
      </c>
      <c r="AF22" s="4">
        <f t="shared" si="21"/>
        <v>0.44</v>
      </c>
    </row>
    <row r="23" spans="2:32" x14ac:dyDescent="0.25">
      <c r="B23" s="38">
        <f>X23+E23+0.33</f>
        <v>43</v>
      </c>
      <c r="C23" s="113">
        <f t="shared" si="11"/>
        <v>0.7</v>
      </c>
      <c r="D23" s="29"/>
      <c r="E23" s="38">
        <f>E22+0.34</f>
        <v>22.34</v>
      </c>
      <c r="F23" s="47">
        <f t="shared" ref="F23" si="24">E23/B23</f>
        <v>0.51953488372093026</v>
      </c>
      <c r="G23" s="20"/>
      <c r="H23" s="89">
        <f t="shared" si="12"/>
        <v>0.44680000000000003</v>
      </c>
      <c r="I23" s="88">
        <f t="shared" si="13"/>
        <v>0.36367441860465116</v>
      </c>
      <c r="J23" s="25"/>
      <c r="K23" s="183">
        <f t="shared" si="14"/>
        <v>0.02</v>
      </c>
      <c r="L23" s="185">
        <f t="shared" si="15"/>
        <v>1.627906976744186E-2</v>
      </c>
      <c r="M23" s="162">
        <f t="shared" si="16"/>
        <v>-8.3125581395348869E-2</v>
      </c>
      <c r="N23" s="165">
        <f t="shared" si="23"/>
        <v>-0.18604651162790697</v>
      </c>
      <c r="T23" s="24"/>
      <c r="U23" s="24"/>
      <c r="X23">
        <f t="shared" si="17"/>
        <v>20.329999999999998</v>
      </c>
      <c r="Y23" s="4"/>
      <c r="Z23" s="7"/>
      <c r="AB23" s="4"/>
      <c r="AC23" s="2"/>
      <c r="AF23" s="4"/>
    </row>
    <row r="24" spans="2:32" x14ac:dyDescent="0.25">
      <c r="B24" s="38">
        <f t="shared" ref="B24:B31" si="25">X24+E24</f>
        <v>43.33</v>
      </c>
      <c r="C24" s="113">
        <f t="shared" si="11"/>
        <v>0.70000000000000007</v>
      </c>
      <c r="D24" s="29"/>
      <c r="E24" s="38">
        <f>E22+1</f>
        <v>23</v>
      </c>
      <c r="F24" s="44">
        <f t="shared" si="22"/>
        <v>0.53081006231248562</v>
      </c>
      <c r="G24" s="21"/>
      <c r="H24" s="84">
        <f t="shared" si="12"/>
        <v>0.46</v>
      </c>
      <c r="I24" s="85">
        <f t="shared" si="13"/>
        <v>0.37156704361873999</v>
      </c>
      <c r="J24" s="15"/>
      <c r="K24" s="183">
        <f t="shared" si="14"/>
        <v>0.02</v>
      </c>
      <c r="L24" s="185">
        <f t="shared" si="15"/>
        <v>1.6155088852988695E-2</v>
      </c>
      <c r="M24" s="162">
        <f t="shared" si="16"/>
        <v>-8.8432956381260031E-2</v>
      </c>
      <c r="N24" s="165">
        <f t="shared" si="23"/>
        <v>-0.19224555735056525</v>
      </c>
      <c r="T24" s="24"/>
      <c r="U24" s="24"/>
      <c r="X24">
        <f t="shared" si="17"/>
        <v>20.329999999999998</v>
      </c>
      <c r="Y24" s="4">
        <f t="shared" ref="Y24:Y31" si="26">X24/B24</f>
        <v>0.46918993768751438</v>
      </c>
      <c r="Z24" s="7">
        <f t="shared" ref="Z24:Z31" si="27">AD24+AB24</f>
        <v>0</v>
      </c>
      <c r="AB24" s="4"/>
      <c r="AC24" s="2">
        <f t="shared" ref="AC24:AC31" si="28" xml:space="preserve"> $E$6*I24</f>
        <v>12633.27948303716</v>
      </c>
      <c r="AF24" s="4">
        <f t="shared" ref="AF24:AF31" si="29">E24*$AK$5</f>
        <v>0.46</v>
      </c>
    </row>
    <row r="25" spans="2:32" x14ac:dyDescent="0.25">
      <c r="B25" s="38">
        <f t="shared" si="25"/>
        <v>44.33</v>
      </c>
      <c r="C25" s="113">
        <f t="shared" si="11"/>
        <v>0.7</v>
      </c>
      <c r="D25" s="29"/>
      <c r="E25" s="38">
        <f t="shared" si="9"/>
        <v>24</v>
      </c>
      <c r="F25" s="44">
        <f t="shared" si="22"/>
        <v>0.54139408978118653</v>
      </c>
      <c r="G25" s="21"/>
      <c r="H25" s="84">
        <f t="shared" si="12"/>
        <v>0.48</v>
      </c>
      <c r="I25" s="85">
        <f t="shared" si="13"/>
        <v>0.37897586284683055</v>
      </c>
      <c r="J25" s="15"/>
      <c r="K25" s="184">
        <f t="shared" si="14"/>
        <v>0.02</v>
      </c>
      <c r="L25" s="185">
        <f t="shared" si="15"/>
        <v>1.5790660951951273E-2</v>
      </c>
      <c r="M25" s="162">
        <f t="shared" si="16"/>
        <v>-0.10102413715316944</v>
      </c>
      <c r="N25" s="165">
        <f t="shared" si="23"/>
        <v>-0.2104669524024364</v>
      </c>
      <c r="T25" s="24"/>
      <c r="U25" s="24"/>
      <c r="X25">
        <f t="shared" si="17"/>
        <v>20.329999999999998</v>
      </c>
      <c r="Y25" s="4">
        <f t="shared" si="26"/>
        <v>0.45860591021881342</v>
      </c>
      <c r="Z25" s="7">
        <f t="shared" si="27"/>
        <v>0</v>
      </c>
      <c r="AB25" s="4"/>
      <c r="AC25" s="2">
        <f t="shared" si="28"/>
        <v>12885.179336792238</v>
      </c>
      <c r="AF25" s="4">
        <f t="shared" si="29"/>
        <v>0.48</v>
      </c>
    </row>
    <row r="26" spans="2:32" x14ac:dyDescent="0.25">
      <c r="B26" s="38">
        <f t="shared" si="25"/>
        <v>45.33</v>
      </c>
      <c r="C26" s="113">
        <f t="shared" si="11"/>
        <v>0.7</v>
      </c>
      <c r="D26" s="29"/>
      <c r="E26" s="38">
        <f t="shared" si="9"/>
        <v>25</v>
      </c>
      <c r="F26" s="44">
        <f t="shared" si="22"/>
        <v>0.55151114052503858</v>
      </c>
      <c r="G26" s="21"/>
      <c r="H26" s="84">
        <f t="shared" si="12"/>
        <v>0.5</v>
      </c>
      <c r="I26" s="85">
        <f t="shared" si="13"/>
        <v>0.38605779836752696</v>
      </c>
      <c r="J26" s="15"/>
      <c r="K26" s="183">
        <f t="shared" si="14"/>
        <v>0.02</v>
      </c>
      <c r="L26" s="185">
        <f t="shared" si="15"/>
        <v>1.5442311934701079E-2</v>
      </c>
      <c r="M26" s="162">
        <f t="shared" si="16"/>
        <v>-0.11394220163247304</v>
      </c>
      <c r="N26" s="165">
        <f t="shared" si="23"/>
        <v>-0.22788440326494608</v>
      </c>
      <c r="T26" s="24"/>
      <c r="U26" s="24"/>
      <c r="X26">
        <f t="shared" si="17"/>
        <v>20.329999999999998</v>
      </c>
      <c r="Y26" s="4">
        <f t="shared" si="26"/>
        <v>0.44848885947496137</v>
      </c>
      <c r="Z26" s="7">
        <f t="shared" si="27"/>
        <v>0</v>
      </c>
      <c r="AB26" s="4"/>
      <c r="AC26" s="2">
        <f t="shared" si="28"/>
        <v>13125.965144495916</v>
      </c>
      <c r="AF26" s="4">
        <f t="shared" si="29"/>
        <v>0.5</v>
      </c>
    </row>
    <row r="27" spans="2:32" x14ac:dyDescent="0.25">
      <c r="B27" s="38">
        <f t="shared" si="25"/>
        <v>46.33</v>
      </c>
      <c r="C27" s="113">
        <f t="shared" si="11"/>
        <v>0.7</v>
      </c>
      <c r="D27" s="29"/>
      <c r="E27" s="38">
        <f t="shared" si="9"/>
        <v>26</v>
      </c>
      <c r="F27" s="44">
        <f t="shared" si="22"/>
        <v>0.56119145262249082</v>
      </c>
      <c r="G27" s="21"/>
      <c r="H27" s="84">
        <f t="shared" si="12"/>
        <v>0.52</v>
      </c>
      <c r="I27" s="85">
        <f t="shared" si="13"/>
        <v>0.39283401683574354</v>
      </c>
      <c r="J27" s="15"/>
      <c r="K27" s="183">
        <f t="shared" si="14"/>
        <v>0.02</v>
      </c>
      <c r="L27" s="185">
        <f t="shared" si="15"/>
        <v>1.5109000647528598E-2</v>
      </c>
      <c r="M27" s="162">
        <f t="shared" si="16"/>
        <v>-0.12716598316425648</v>
      </c>
      <c r="N27" s="165">
        <f t="shared" si="23"/>
        <v>-0.24454996762357017</v>
      </c>
      <c r="T27" s="24"/>
      <c r="U27" s="24"/>
      <c r="X27">
        <f t="shared" si="17"/>
        <v>20.329999999999998</v>
      </c>
      <c r="Y27" s="4">
        <f t="shared" si="26"/>
        <v>0.43880854737750913</v>
      </c>
      <c r="Z27" s="7">
        <f t="shared" si="27"/>
        <v>0</v>
      </c>
      <c r="AB27" s="4"/>
      <c r="AC27" s="2">
        <f t="shared" si="28"/>
        <v>13356.35657241528</v>
      </c>
      <c r="AF27" s="4">
        <f t="shared" si="29"/>
        <v>0.52</v>
      </c>
    </row>
    <row r="28" spans="2:32" x14ac:dyDescent="0.25">
      <c r="B28" s="38">
        <f t="shared" si="25"/>
        <v>47.33</v>
      </c>
      <c r="C28" s="113">
        <f t="shared" si="11"/>
        <v>0.70000000000000007</v>
      </c>
      <c r="D28" s="29"/>
      <c r="E28" s="38">
        <f t="shared" si="9"/>
        <v>27</v>
      </c>
      <c r="F28" s="44">
        <f t="shared" si="22"/>
        <v>0.57046270864145365</v>
      </c>
      <c r="G28" s="21"/>
      <c r="H28" s="84">
        <f t="shared" si="12"/>
        <v>0.54</v>
      </c>
      <c r="I28" s="85">
        <f t="shared" si="13"/>
        <v>0.39932389604901758</v>
      </c>
      <c r="J28" s="15"/>
      <c r="K28" s="183">
        <f t="shared" si="14"/>
        <v>0.02</v>
      </c>
      <c r="L28" s="185">
        <f t="shared" si="15"/>
        <v>1.4789773927741392E-2</v>
      </c>
      <c r="M28" s="162">
        <f t="shared" si="16"/>
        <v>-0.14067610395098246</v>
      </c>
      <c r="N28" s="165">
        <f t="shared" si="23"/>
        <v>-0.2605113036129304</v>
      </c>
      <c r="T28" s="24"/>
      <c r="U28" s="24"/>
      <c r="X28">
        <f t="shared" si="17"/>
        <v>20.329999999999998</v>
      </c>
      <c r="Y28" s="4">
        <f t="shared" si="26"/>
        <v>0.42953729135854635</v>
      </c>
      <c r="Z28" s="7">
        <f t="shared" si="27"/>
        <v>0</v>
      </c>
      <c r="AB28" s="4"/>
      <c r="AC28" s="2">
        <f t="shared" si="28"/>
        <v>13577.012465666598</v>
      </c>
      <c r="AF28" s="4">
        <f t="shared" si="29"/>
        <v>0.54</v>
      </c>
    </row>
    <row r="29" spans="2:32" x14ac:dyDescent="0.25">
      <c r="B29" s="38">
        <f t="shared" si="25"/>
        <v>48.33</v>
      </c>
      <c r="C29" s="113">
        <f t="shared" si="11"/>
        <v>0.70000000000000007</v>
      </c>
      <c r="D29" s="29"/>
      <c r="E29" s="38">
        <f t="shared" si="9"/>
        <v>28</v>
      </c>
      <c r="F29" s="44">
        <f t="shared" si="22"/>
        <v>0.5793503000206911</v>
      </c>
      <c r="G29" s="21"/>
      <c r="H29" s="84">
        <f t="shared" si="12"/>
        <v>0.56000000000000005</v>
      </c>
      <c r="I29" s="85">
        <f t="shared" si="13"/>
        <v>0.40554521001448379</v>
      </c>
      <c r="J29" s="15"/>
      <c r="K29" s="183">
        <f t="shared" si="14"/>
        <v>0.02</v>
      </c>
      <c r="L29" s="185">
        <f t="shared" si="15"/>
        <v>1.4483757500517279E-2</v>
      </c>
      <c r="M29" s="162">
        <f t="shared" si="16"/>
        <v>-0.15445478998551626</v>
      </c>
      <c r="N29" s="165">
        <f t="shared" si="23"/>
        <v>-0.2758121249741361</v>
      </c>
      <c r="T29" s="24"/>
      <c r="U29" s="24"/>
      <c r="X29">
        <f t="shared" si="17"/>
        <v>20.329999999999998</v>
      </c>
      <c r="Y29" s="4">
        <f t="shared" si="26"/>
        <v>0.4206496999793089</v>
      </c>
      <c r="Z29" s="7">
        <f t="shared" si="27"/>
        <v>0</v>
      </c>
      <c r="AB29" s="4"/>
      <c r="AC29" s="2">
        <f t="shared" si="28"/>
        <v>13788.537140492448</v>
      </c>
      <c r="AF29" s="4">
        <f t="shared" si="29"/>
        <v>0.56000000000000005</v>
      </c>
    </row>
    <row r="30" spans="2:32" x14ac:dyDescent="0.25">
      <c r="B30" s="38">
        <f t="shared" si="25"/>
        <v>49.33</v>
      </c>
      <c r="C30" s="113">
        <f t="shared" si="11"/>
        <v>0.70000000000000007</v>
      </c>
      <c r="D30" s="29"/>
      <c r="E30" s="38">
        <f t="shared" si="9"/>
        <v>29</v>
      </c>
      <c r="F30" s="44">
        <f t="shared" si="22"/>
        <v>0.58787755929454699</v>
      </c>
      <c r="G30" s="21"/>
      <c r="H30" s="84">
        <f t="shared" si="12"/>
        <v>0.57999999999999996</v>
      </c>
      <c r="I30" s="85">
        <f t="shared" si="13"/>
        <v>0.41151429150618296</v>
      </c>
      <c r="J30" s="15"/>
      <c r="K30" s="183">
        <f t="shared" si="14"/>
        <v>1.9999999999999997E-2</v>
      </c>
      <c r="L30" s="185">
        <f t="shared" si="15"/>
        <v>1.4190147982971826E-2</v>
      </c>
      <c r="M30" s="162">
        <f t="shared" si="16"/>
        <v>-0.168485708493817</v>
      </c>
      <c r="N30" s="165">
        <f t="shared" si="23"/>
        <v>-0.29049260085140871</v>
      </c>
      <c r="T30" s="24"/>
      <c r="U30" s="24"/>
      <c r="X30">
        <f t="shared" si="17"/>
        <v>20.329999999999998</v>
      </c>
      <c r="Y30" s="4">
        <f t="shared" si="26"/>
        <v>0.41212244070545306</v>
      </c>
      <c r="Z30" s="7">
        <f t="shared" si="27"/>
        <v>0</v>
      </c>
      <c r="AB30" s="4"/>
      <c r="AC30" s="2">
        <f t="shared" si="28"/>
        <v>13991.48591121022</v>
      </c>
      <c r="AF30" s="4">
        <f t="shared" si="29"/>
        <v>0.57999999999999996</v>
      </c>
    </row>
    <row r="31" spans="2:32" x14ac:dyDescent="0.25">
      <c r="B31" s="38">
        <f t="shared" si="25"/>
        <v>50.33</v>
      </c>
      <c r="C31" s="113">
        <f t="shared" si="11"/>
        <v>0.7</v>
      </c>
      <c r="D31" s="29"/>
      <c r="E31" s="38">
        <f t="shared" si="9"/>
        <v>30</v>
      </c>
      <c r="F31" s="44">
        <f t="shared" si="22"/>
        <v>0.59606596463341943</v>
      </c>
      <c r="G31" s="21"/>
      <c r="H31" s="84">
        <f t="shared" si="12"/>
        <v>0.6</v>
      </c>
      <c r="I31" s="85">
        <f t="shared" si="13"/>
        <v>0.41724617524339358</v>
      </c>
      <c r="J31" s="15"/>
      <c r="K31" s="184">
        <f t="shared" si="14"/>
        <v>0.02</v>
      </c>
      <c r="L31" s="185">
        <f t="shared" si="15"/>
        <v>1.3908205841446452E-2</v>
      </c>
      <c r="M31" s="162">
        <f t="shared" si="16"/>
        <v>-0.1827538247566064</v>
      </c>
      <c r="N31" s="165">
        <f t="shared" si="23"/>
        <v>-0.30458970792767737</v>
      </c>
      <c r="T31" s="24"/>
      <c r="U31" s="24"/>
      <c r="X31">
        <f t="shared" si="17"/>
        <v>20.329999999999998</v>
      </c>
      <c r="Y31" s="4">
        <f t="shared" si="26"/>
        <v>0.40393403536658057</v>
      </c>
      <c r="Z31" s="7">
        <f t="shared" si="27"/>
        <v>0</v>
      </c>
      <c r="AB31" s="4"/>
      <c r="AC31" s="2">
        <f t="shared" si="28"/>
        <v>14186.369958275382</v>
      </c>
      <c r="AF31" s="4">
        <f t="shared" si="29"/>
        <v>0.6</v>
      </c>
    </row>
    <row r="32" spans="2:32" x14ac:dyDescent="0.25">
      <c r="B32" s="38">
        <v>55</v>
      </c>
      <c r="C32" s="113">
        <f t="shared" si="11"/>
        <v>0.70000000000000007</v>
      </c>
      <c r="D32" s="29"/>
      <c r="E32" s="38">
        <f t="shared" ref="E32:E35" si="30">E31+1</f>
        <v>31</v>
      </c>
      <c r="F32" s="44">
        <f t="shared" ref="F32:F35" si="31">E32/B32</f>
        <v>0.5636363636363636</v>
      </c>
      <c r="G32" s="21"/>
      <c r="H32" s="84">
        <f t="shared" si="12"/>
        <v>0.62</v>
      </c>
      <c r="I32" s="85">
        <f t="shared" si="13"/>
        <v>0.39454545454545453</v>
      </c>
      <c r="J32" s="15"/>
      <c r="K32" s="183">
        <f t="shared" si="14"/>
        <v>0.02</v>
      </c>
      <c r="L32" s="185">
        <f t="shared" si="15"/>
        <v>1.2727272727272728E-2</v>
      </c>
      <c r="M32" s="162">
        <f t="shared" si="16"/>
        <v>-0.22545454545454546</v>
      </c>
      <c r="N32" s="165">
        <f t="shared" si="23"/>
        <v>-0.36363636363636365</v>
      </c>
      <c r="T32" s="24"/>
    </row>
    <row r="33" spans="2:20" x14ac:dyDescent="0.25">
      <c r="B33" s="38">
        <v>60</v>
      </c>
      <c r="C33" s="113">
        <f t="shared" si="11"/>
        <v>0.7</v>
      </c>
      <c r="D33" s="29"/>
      <c r="E33" s="38">
        <f t="shared" si="30"/>
        <v>32</v>
      </c>
      <c r="F33" s="44">
        <f t="shared" si="31"/>
        <v>0.53333333333333333</v>
      </c>
      <c r="G33" s="21"/>
      <c r="H33" s="84">
        <f t="shared" si="12"/>
        <v>0.64</v>
      </c>
      <c r="I33" s="85">
        <f t="shared" si="13"/>
        <v>0.37333333333333329</v>
      </c>
      <c r="J33" s="15"/>
      <c r="K33" s="183">
        <f t="shared" si="14"/>
        <v>0.02</v>
      </c>
      <c r="L33" s="185">
        <f t="shared" si="15"/>
        <v>1.1666666666666665E-2</v>
      </c>
      <c r="M33" s="162">
        <f t="shared" si="16"/>
        <v>-0.26666666666666672</v>
      </c>
      <c r="N33" s="165">
        <f t="shared" si="23"/>
        <v>-0.41666666666666674</v>
      </c>
      <c r="T33" s="24"/>
    </row>
    <row r="34" spans="2:20" x14ac:dyDescent="0.25">
      <c r="B34" s="38">
        <v>65</v>
      </c>
      <c r="C34" s="113">
        <f t="shared" si="11"/>
        <v>0.70000000000000007</v>
      </c>
      <c r="D34" s="29"/>
      <c r="E34" s="38">
        <f t="shared" si="30"/>
        <v>33</v>
      </c>
      <c r="F34" s="44">
        <f t="shared" si="31"/>
        <v>0.50769230769230766</v>
      </c>
      <c r="G34" s="21"/>
      <c r="H34" s="84">
        <f t="shared" si="12"/>
        <v>0.66</v>
      </c>
      <c r="I34" s="85">
        <f t="shared" si="13"/>
        <v>0.35538461538461541</v>
      </c>
      <c r="J34" s="15"/>
      <c r="K34" s="183">
        <f t="shared" si="14"/>
        <v>0.02</v>
      </c>
      <c r="L34" s="185">
        <f t="shared" si="15"/>
        <v>1.0769230769230771E-2</v>
      </c>
      <c r="M34" s="162">
        <f t="shared" si="16"/>
        <v>-0.30461538461538462</v>
      </c>
      <c r="N34" s="165">
        <f t="shared" si="23"/>
        <v>-0.46153846153846145</v>
      </c>
      <c r="T34" s="24"/>
    </row>
    <row r="35" spans="2:20" x14ac:dyDescent="0.25">
      <c r="B35" s="38">
        <v>70</v>
      </c>
      <c r="C35" s="113">
        <f t="shared" si="11"/>
        <v>0.70000000000000007</v>
      </c>
      <c r="D35" s="29"/>
      <c r="E35" s="38">
        <f t="shared" si="30"/>
        <v>34</v>
      </c>
      <c r="F35" s="44">
        <f t="shared" si="31"/>
        <v>0.48571428571428571</v>
      </c>
      <c r="G35" s="21"/>
      <c r="H35" s="84">
        <f t="shared" si="12"/>
        <v>0.68</v>
      </c>
      <c r="I35" s="85">
        <f t="shared" si="13"/>
        <v>0.34</v>
      </c>
      <c r="J35" s="15"/>
      <c r="K35" s="183">
        <f t="shared" si="14"/>
        <v>0.02</v>
      </c>
      <c r="L35" s="185">
        <f t="shared" si="15"/>
        <v>0.01</v>
      </c>
      <c r="M35" s="162">
        <f t="shared" si="16"/>
        <v>-0.34</v>
      </c>
      <c r="N35" s="165">
        <f t="shared" si="23"/>
        <v>-0.5</v>
      </c>
      <c r="T35" s="24"/>
    </row>
    <row r="36" spans="2:20" ht="14.4" thickBot="1" x14ac:dyDescent="0.3">
      <c r="B36" s="40"/>
      <c r="C36" s="114"/>
      <c r="D36" s="56"/>
      <c r="E36" s="40"/>
      <c r="F36" s="48"/>
      <c r="G36" s="21"/>
      <c r="H36" s="90"/>
      <c r="I36" s="91"/>
      <c r="J36" s="15"/>
      <c r="K36" s="161" t="s">
        <v>52</v>
      </c>
      <c r="L36" s="187"/>
      <c r="M36" s="129"/>
      <c r="N36" s="167"/>
      <c r="T36" s="24"/>
    </row>
    <row r="37" spans="2:20" x14ac:dyDescent="0.25">
      <c r="B37" s="7"/>
      <c r="C37" s="27"/>
      <c r="D37" s="29"/>
      <c r="N3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D5F5-FBB7-46F2-817B-A3F76ADEA9DF}">
  <dimension ref="B1:AK40"/>
  <sheetViews>
    <sheetView rightToLeft="1" workbookViewId="0">
      <selection activeCell="H9" sqref="H9"/>
    </sheetView>
  </sheetViews>
  <sheetFormatPr defaultRowHeight="13.85" x14ac:dyDescent="0.25"/>
  <cols>
    <col min="1" max="1" width="8.6328125" customWidth="1"/>
    <col min="2" max="2" width="8.90625" customWidth="1"/>
    <col min="3" max="3" width="7.6328125" customWidth="1"/>
    <col min="4" max="4" width="1.36328125" customWidth="1"/>
    <col min="5" max="5" width="8.36328125" style="7" customWidth="1"/>
    <col min="6" max="6" width="9.453125" customWidth="1"/>
    <col min="7" max="7" width="1.26953125" customWidth="1"/>
    <col min="8" max="8" width="8.26953125" customWidth="1"/>
    <col min="9" max="9" width="10.36328125" customWidth="1"/>
    <col min="10" max="10" width="1.26953125" customWidth="1"/>
    <col min="11" max="11" width="6.90625" customWidth="1"/>
    <col min="12" max="12" width="10.453125" customWidth="1"/>
    <col min="13" max="13" width="8.81640625" customWidth="1"/>
    <col min="14" max="14" width="10.1796875" customWidth="1"/>
    <col min="20" max="22" width="7.453125" customWidth="1"/>
    <col min="24" max="28" width="8.81640625" customWidth="1"/>
    <col min="29" max="29" width="9.81640625" customWidth="1"/>
    <col min="30" max="30" width="9" customWidth="1"/>
    <col min="31" max="31" width="7.90625" customWidth="1"/>
    <col min="32" max="32" width="8.6328125" customWidth="1"/>
    <col min="36" max="36" width="9.6328125" bestFit="1" customWidth="1"/>
  </cols>
  <sheetData>
    <row r="1" spans="2:37" ht="18.45" thickBot="1" x14ac:dyDescent="0.4">
      <c r="B1" s="36" t="s">
        <v>40</v>
      </c>
      <c r="H1" s="36" t="s">
        <v>45</v>
      </c>
    </row>
    <row r="2" spans="2:37" ht="18.45" thickBot="1" x14ac:dyDescent="0.4">
      <c r="B2" s="68" t="s">
        <v>38</v>
      </c>
      <c r="C2" s="74"/>
      <c r="D2" s="72"/>
      <c r="E2" s="65" t="s">
        <v>41</v>
      </c>
      <c r="F2" s="67"/>
      <c r="H2" s="68" t="s">
        <v>36</v>
      </c>
      <c r="I2" s="76" t="s">
        <v>46</v>
      </c>
      <c r="J2" s="36"/>
      <c r="K2" s="68"/>
      <c r="L2" s="182"/>
      <c r="M2" s="74" t="s">
        <v>37</v>
      </c>
      <c r="N2" s="69"/>
      <c r="T2" s="36"/>
    </row>
    <row r="3" spans="2:37" ht="14.4" thickBot="1" x14ac:dyDescent="0.3">
      <c r="B3" s="139">
        <v>1</v>
      </c>
      <c r="C3" s="144">
        <v>2</v>
      </c>
      <c r="D3" s="8"/>
      <c r="E3" s="50">
        <v>3</v>
      </c>
      <c r="F3" s="61">
        <v>4</v>
      </c>
      <c r="G3" s="8"/>
      <c r="H3" s="51">
        <v>5</v>
      </c>
      <c r="I3" s="51">
        <v>6</v>
      </c>
      <c r="J3" s="8"/>
      <c r="K3" s="160">
        <v>7</v>
      </c>
      <c r="L3" s="157">
        <v>8</v>
      </c>
      <c r="M3" s="157">
        <v>9</v>
      </c>
      <c r="N3" s="156">
        <v>10</v>
      </c>
      <c r="U3" s="8"/>
    </row>
    <row r="4" spans="2:37" x14ac:dyDescent="0.25">
      <c r="B4" s="38" t="s">
        <v>5</v>
      </c>
      <c r="C4" s="176" t="s">
        <v>3</v>
      </c>
      <c r="D4" s="174"/>
      <c r="E4" s="106" t="s">
        <v>14</v>
      </c>
      <c r="F4" s="57" t="s">
        <v>26</v>
      </c>
      <c r="G4" s="5"/>
      <c r="H4" s="78" t="s">
        <v>22</v>
      </c>
      <c r="I4" s="79" t="s">
        <v>7</v>
      </c>
      <c r="J4" s="92"/>
      <c r="K4" s="179" t="s">
        <v>56</v>
      </c>
      <c r="L4" s="146"/>
      <c r="M4" s="126" t="s">
        <v>43</v>
      </c>
      <c r="N4" s="168" t="s">
        <v>42</v>
      </c>
      <c r="X4" t="s">
        <v>16</v>
      </c>
      <c r="Y4" s="5" t="s">
        <v>11</v>
      </c>
      <c r="Z4" t="s">
        <v>5</v>
      </c>
      <c r="AB4" s="1" t="s">
        <v>12</v>
      </c>
      <c r="AC4" t="s">
        <v>6</v>
      </c>
      <c r="AD4" t="s">
        <v>9</v>
      </c>
      <c r="AE4" t="s">
        <v>3</v>
      </c>
      <c r="AF4" s="3" t="s">
        <v>4</v>
      </c>
      <c r="AH4" t="s">
        <v>3</v>
      </c>
      <c r="AI4" t="s">
        <v>2</v>
      </c>
      <c r="AJ4" t="s">
        <v>1</v>
      </c>
      <c r="AK4" t="s">
        <v>5</v>
      </c>
    </row>
    <row r="5" spans="2:37" x14ac:dyDescent="0.25">
      <c r="B5" s="177" t="s">
        <v>30</v>
      </c>
      <c r="C5" s="151" t="s">
        <v>39</v>
      </c>
      <c r="D5" s="34"/>
      <c r="E5" s="115" t="s">
        <v>25</v>
      </c>
      <c r="F5" s="41" t="s">
        <v>29</v>
      </c>
      <c r="G5" s="5"/>
      <c r="H5" s="52">
        <v>0.02</v>
      </c>
      <c r="I5" s="80" t="s">
        <v>8</v>
      </c>
      <c r="J5" s="31"/>
      <c r="K5" s="159" t="s">
        <v>53</v>
      </c>
      <c r="L5" s="78"/>
      <c r="M5" s="7" t="s">
        <v>19</v>
      </c>
      <c r="N5" s="169" t="s">
        <v>33</v>
      </c>
      <c r="T5" s="10"/>
      <c r="U5" s="1"/>
      <c r="X5" s="9">
        <v>10000</v>
      </c>
      <c r="Y5" s="9" t="s">
        <v>15</v>
      </c>
      <c r="Z5" s="8" t="s">
        <v>10</v>
      </c>
      <c r="AB5" s="11" t="s">
        <v>13</v>
      </c>
      <c r="AC5" s="11" t="s">
        <v>8</v>
      </c>
      <c r="AK5" s="1">
        <v>0.02</v>
      </c>
    </row>
    <row r="6" spans="2:37" x14ac:dyDescent="0.25">
      <c r="B6" s="178">
        <v>20.329999999999998</v>
      </c>
      <c r="C6" s="175">
        <v>0.02</v>
      </c>
      <c r="D6" s="34"/>
      <c r="E6" s="116">
        <v>34000</v>
      </c>
      <c r="F6" s="42" t="s">
        <v>15</v>
      </c>
      <c r="G6" s="9"/>
      <c r="H6" s="53" t="s">
        <v>24</v>
      </c>
      <c r="I6" s="81" t="s">
        <v>28</v>
      </c>
      <c r="J6" s="8"/>
      <c r="K6" s="160" t="s">
        <v>55</v>
      </c>
      <c r="L6" s="131" t="s">
        <v>28</v>
      </c>
      <c r="M6" s="11" t="s">
        <v>35</v>
      </c>
      <c r="N6" s="170" t="s">
        <v>34</v>
      </c>
      <c r="T6" s="10"/>
      <c r="U6" s="10"/>
      <c r="X6" s="9"/>
      <c r="Y6" s="9"/>
      <c r="Z6" s="8"/>
      <c r="AB6" s="11"/>
      <c r="AC6" s="11"/>
      <c r="AK6" s="1"/>
    </row>
    <row r="7" spans="2:37" x14ac:dyDescent="0.25">
      <c r="B7" s="117" t="s">
        <v>57</v>
      </c>
      <c r="C7" s="109" t="s">
        <v>31</v>
      </c>
      <c r="D7" s="55"/>
      <c r="E7" s="117"/>
      <c r="F7" s="43" t="s">
        <v>32</v>
      </c>
      <c r="G7" s="75"/>
      <c r="H7" s="82" t="s">
        <v>20</v>
      </c>
      <c r="I7" s="83" t="s">
        <v>49</v>
      </c>
      <c r="J7" s="26"/>
      <c r="K7" s="180" t="s">
        <v>54</v>
      </c>
      <c r="L7" s="123" t="s">
        <v>23</v>
      </c>
      <c r="M7" s="26" t="s">
        <v>44</v>
      </c>
      <c r="N7" s="123" t="s">
        <v>58</v>
      </c>
      <c r="T7" s="19"/>
      <c r="U7" s="10"/>
      <c r="X7" s="33">
        <v>20.329999999999998</v>
      </c>
      <c r="Y7" s="9"/>
      <c r="Z7" s="8"/>
      <c r="AB7" s="11"/>
      <c r="AC7" s="11"/>
      <c r="AK7" s="1"/>
    </row>
    <row r="8" spans="2:37" x14ac:dyDescent="0.25">
      <c r="B8" s="38">
        <v>25.33</v>
      </c>
      <c r="C8" s="110">
        <f t="shared" ref="C8:C14" si="0">B8*$H$5</f>
        <v>0.50659999999999994</v>
      </c>
      <c r="D8" s="55"/>
      <c r="E8" s="38">
        <f>B8-B6</f>
        <v>5</v>
      </c>
      <c r="F8" s="44">
        <f t="shared" ref="F8:F14" si="1">E8/B8</f>
        <v>0.19739439399921044</v>
      </c>
      <c r="G8" s="75"/>
      <c r="H8" s="84">
        <f t="shared" ref="H8:H14" si="2">E8*$H$5</f>
        <v>0.1</v>
      </c>
      <c r="I8" s="85">
        <f t="shared" ref="I8:I14" si="3">F8*C8</f>
        <v>9.9999999999999992E-2</v>
      </c>
      <c r="J8" s="15"/>
      <c r="K8" s="183">
        <f t="shared" ref="K8:K14" si="4">H8/E8</f>
        <v>0.02</v>
      </c>
      <c r="L8" s="183">
        <f t="shared" ref="L8:L14" si="5">I8/E8</f>
        <v>1.9999999999999997E-2</v>
      </c>
      <c r="M8" s="122">
        <f t="shared" ref="M8:M14" si="6">H8-I8</f>
        <v>0</v>
      </c>
      <c r="N8" s="124">
        <f t="shared" ref="N8" si="7">((L8/$C$6)-1)*-1</f>
        <v>2.2204460492503131E-16</v>
      </c>
      <c r="T8" s="19"/>
      <c r="U8" s="10"/>
      <c r="X8" s="33"/>
      <c r="Y8" s="9"/>
      <c r="Z8" s="8"/>
      <c r="AB8" s="11"/>
      <c r="AC8" s="11"/>
      <c r="AK8" s="1"/>
    </row>
    <row r="9" spans="2:37" x14ac:dyDescent="0.25">
      <c r="B9" s="38">
        <v>30.33</v>
      </c>
      <c r="C9" s="110">
        <f t="shared" si="0"/>
        <v>0.60660000000000003</v>
      </c>
      <c r="D9" s="15"/>
      <c r="E9" s="38">
        <f>B9-B6</f>
        <v>10</v>
      </c>
      <c r="F9" s="44">
        <f t="shared" si="1"/>
        <v>0.32970656116056712</v>
      </c>
      <c r="G9" s="21"/>
      <c r="H9" s="84">
        <f t="shared" si="2"/>
        <v>0.2</v>
      </c>
      <c r="I9" s="85">
        <f t="shared" si="3"/>
        <v>0.20000000000000004</v>
      </c>
      <c r="J9" s="15"/>
      <c r="K9" s="183">
        <f t="shared" si="4"/>
        <v>0.02</v>
      </c>
      <c r="L9" s="183">
        <f t="shared" si="5"/>
        <v>2.0000000000000004E-2</v>
      </c>
      <c r="M9" s="122">
        <f t="shared" si="6"/>
        <v>0</v>
      </c>
      <c r="N9" s="124">
        <f t="shared" ref="N9:N15" si="8">((L9/$C$6)-1)*-1</f>
        <v>-2.2204460492503131E-16</v>
      </c>
      <c r="T9" s="22"/>
      <c r="U9" s="22"/>
      <c r="X9">
        <v>20.329999999999998</v>
      </c>
      <c r="Y9" s="4">
        <f>X9/B9</f>
        <v>0.67029343883943293</v>
      </c>
      <c r="Z9" s="7">
        <f>AD9+AB9</f>
        <v>0</v>
      </c>
      <c r="AB9" s="4"/>
      <c r="AC9" s="2">
        <f xml:space="preserve"> $E$6*I9</f>
        <v>6800.0000000000009</v>
      </c>
      <c r="AE9" s="5">
        <f>E6*I9</f>
        <v>6800.0000000000009</v>
      </c>
      <c r="AH9" s="5">
        <f>X5*AI9</f>
        <v>4065.9999999999995</v>
      </c>
      <c r="AI9" s="4">
        <f>X9*$AK$5</f>
        <v>0.40659999999999996</v>
      </c>
      <c r="AK9">
        <v>30</v>
      </c>
    </row>
    <row r="10" spans="2:37" x14ac:dyDescent="0.25">
      <c r="B10" s="38">
        <f>X10+E10</f>
        <v>31.33</v>
      </c>
      <c r="C10" s="110">
        <f t="shared" si="0"/>
        <v>0.62659999999999993</v>
      </c>
      <c r="D10" s="15"/>
      <c r="E10" s="38">
        <f>E9+1</f>
        <v>11</v>
      </c>
      <c r="F10" s="44">
        <f t="shared" si="1"/>
        <v>0.35110118097669968</v>
      </c>
      <c r="G10" s="21"/>
      <c r="H10" s="84">
        <f t="shared" si="2"/>
        <v>0.22</v>
      </c>
      <c r="I10" s="85">
        <f t="shared" si="3"/>
        <v>0.22</v>
      </c>
      <c r="J10" s="15"/>
      <c r="K10" s="183">
        <f t="shared" si="4"/>
        <v>0.02</v>
      </c>
      <c r="L10" s="183">
        <f t="shared" si="5"/>
        <v>0.02</v>
      </c>
      <c r="M10" s="122">
        <f t="shared" si="6"/>
        <v>0</v>
      </c>
      <c r="N10" s="124">
        <f t="shared" si="8"/>
        <v>0</v>
      </c>
      <c r="T10" s="22"/>
      <c r="U10" s="22"/>
      <c r="X10">
        <f>+$X$9</f>
        <v>20.329999999999998</v>
      </c>
      <c r="Y10" s="4">
        <f>X10/B10</f>
        <v>0.64889881902330038</v>
      </c>
      <c r="Z10" s="7">
        <f>AD10+AB10</f>
        <v>1.9999999999999962E-2</v>
      </c>
      <c r="AB10" s="4">
        <f>I10-I9</f>
        <v>1.9999999999999962E-2</v>
      </c>
      <c r="AC10" s="2">
        <f xml:space="preserve"> $E$6*I10</f>
        <v>7480</v>
      </c>
      <c r="AF10" s="4">
        <f>E10*$AK$5</f>
        <v>0.22</v>
      </c>
      <c r="AH10" s="5">
        <f t="shared" ref="AH10:AH12" si="9">AI9*AI10</f>
        <v>0.16532355999999998</v>
      </c>
      <c r="AI10" s="4">
        <f>X10*$AK$5</f>
        <v>0.40659999999999996</v>
      </c>
      <c r="AK10">
        <v>31</v>
      </c>
    </row>
    <row r="11" spans="2:37" x14ac:dyDescent="0.25">
      <c r="B11" s="38">
        <f>X11+E11</f>
        <v>32.33</v>
      </c>
      <c r="C11" s="110">
        <f t="shared" si="0"/>
        <v>0.64659999999999995</v>
      </c>
      <c r="D11" s="15"/>
      <c r="E11" s="38">
        <f t="shared" ref="E11:E36" si="10">E10+1</f>
        <v>12</v>
      </c>
      <c r="F11" s="44">
        <f t="shared" si="1"/>
        <v>0.3711722858026601</v>
      </c>
      <c r="G11" s="21"/>
      <c r="H11" s="84">
        <f t="shared" si="2"/>
        <v>0.24</v>
      </c>
      <c r="I11" s="85">
        <f t="shared" si="3"/>
        <v>0.24</v>
      </c>
      <c r="J11" s="15"/>
      <c r="K11" s="183">
        <f t="shared" si="4"/>
        <v>0.02</v>
      </c>
      <c r="L11" s="183">
        <f t="shared" si="5"/>
        <v>0.02</v>
      </c>
      <c r="M11" s="122">
        <f t="shared" si="6"/>
        <v>0</v>
      </c>
      <c r="N11" s="124">
        <f t="shared" si="8"/>
        <v>0</v>
      </c>
      <c r="T11" s="22"/>
      <c r="U11" s="22"/>
      <c r="X11">
        <f>+$X$9</f>
        <v>20.329999999999998</v>
      </c>
      <c r="Y11" s="4">
        <f>X11/B11</f>
        <v>0.62882771419733996</v>
      </c>
      <c r="Z11" s="7">
        <f>AD11+AB11</f>
        <v>1.999999999999999E-2</v>
      </c>
      <c r="AB11" s="4">
        <f>I11-I10</f>
        <v>1.999999999999999E-2</v>
      </c>
      <c r="AC11" s="2">
        <f xml:space="preserve"> $E$6*I11</f>
        <v>8160</v>
      </c>
      <c r="AF11" s="4">
        <f>E11*$AK$5</f>
        <v>0.24</v>
      </c>
      <c r="AH11" s="5">
        <f t="shared" si="9"/>
        <v>0.16532355999999998</v>
      </c>
      <c r="AI11" s="4">
        <f>X11*$AK$5</f>
        <v>0.40659999999999996</v>
      </c>
      <c r="AK11">
        <v>35</v>
      </c>
    </row>
    <row r="12" spans="2:37" x14ac:dyDescent="0.25">
      <c r="B12" s="38">
        <f>X12+E12</f>
        <v>33.33</v>
      </c>
      <c r="C12" s="110">
        <f t="shared" si="0"/>
        <v>0.66659999999999997</v>
      </c>
      <c r="D12" s="15"/>
      <c r="E12" s="38">
        <f t="shared" si="10"/>
        <v>13</v>
      </c>
      <c r="F12" s="44">
        <f t="shared" si="1"/>
        <v>0.39003900390039004</v>
      </c>
      <c r="G12" s="21"/>
      <c r="H12" s="84">
        <f t="shared" si="2"/>
        <v>0.26</v>
      </c>
      <c r="I12" s="85">
        <f t="shared" si="3"/>
        <v>0.26</v>
      </c>
      <c r="J12" s="15"/>
      <c r="K12" s="183">
        <f t="shared" si="4"/>
        <v>0.02</v>
      </c>
      <c r="L12" s="183">
        <f t="shared" si="5"/>
        <v>0.02</v>
      </c>
      <c r="M12" s="122">
        <f t="shared" si="6"/>
        <v>0</v>
      </c>
      <c r="N12" s="124">
        <f t="shared" si="8"/>
        <v>0</v>
      </c>
      <c r="T12" s="23"/>
      <c r="U12" s="23"/>
      <c r="X12">
        <f>+$X$9</f>
        <v>20.329999999999998</v>
      </c>
      <c r="Y12" s="4">
        <f>X12/B12</f>
        <v>0.60996099609960996</v>
      </c>
      <c r="Z12" s="7">
        <f>AD12+AB12</f>
        <v>2.0000000000000018E-2</v>
      </c>
      <c r="AB12" s="4">
        <f>I12-I11</f>
        <v>2.0000000000000018E-2</v>
      </c>
      <c r="AC12" s="2">
        <f xml:space="preserve"> $E$6*I12</f>
        <v>8840</v>
      </c>
      <c r="AF12" s="4">
        <f>E12*$AK$5</f>
        <v>0.26</v>
      </c>
      <c r="AH12" s="5">
        <f t="shared" si="9"/>
        <v>0.16532355999999998</v>
      </c>
      <c r="AI12" s="4">
        <f>X12*$AK$5</f>
        <v>0.40659999999999996</v>
      </c>
      <c r="AK12">
        <v>36</v>
      </c>
    </row>
    <row r="13" spans="2:37" ht="14.4" thickBot="1" x14ac:dyDescent="0.3">
      <c r="B13" s="38">
        <f>X13+E13</f>
        <v>34.33</v>
      </c>
      <c r="C13" s="110">
        <f t="shared" si="0"/>
        <v>0.68659999999999999</v>
      </c>
      <c r="D13" s="15"/>
      <c r="E13" s="38">
        <f t="shared" si="10"/>
        <v>14</v>
      </c>
      <c r="F13" s="44">
        <f t="shared" si="1"/>
        <v>0.40780658316341395</v>
      </c>
      <c r="G13" s="21"/>
      <c r="H13" s="84">
        <f t="shared" si="2"/>
        <v>0.28000000000000003</v>
      </c>
      <c r="I13" s="85">
        <f t="shared" si="3"/>
        <v>0.28000000000000003</v>
      </c>
      <c r="J13" s="15"/>
      <c r="K13" s="183">
        <f t="shared" si="4"/>
        <v>0.02</v>
      </c>
      <c r="L13" s="183">
        <f t="shared" si="5"/>
        <v>0.02</v>
      </c>
      <c r="M13" s="122">
        <f t="shared" si="6"/>
        <v>0</v>
      </c>
      <c r="N13" s="124">
        <f t="shared" si="8"/>
        <v>0</v>
      </c>
      <c r="T13" s="22"/>
      <c r="U13" s="22"/>
      <c r="V13" s="71"/>
      <c r="X13">
        <f>+$X$9</f>
        <v>20.329999999999998</v>
      </c>
      <c r="Y13" s="4">
        <f>X13/B13</f>
        <v>0.59219341683658611</v>
      </c>
      <c r="Z13" s="7">
        <f>AD13+AB13</f>
        <v>2.0000000000000018E-2</v>
      </c>
      <c r="AB13" s="4">
        <f>I13-I12</f>
        <v>2.0000000000000018E-2</v>
      </c>
      <c r="AC13" s="2">
        <f xml:space="preserve"> $E$6*I13</f>
        <v>9520</v>
      </c>
      <c r="AF13" s="4">
        <f>E13*$AK$5</f>
        <v>0.28000000000000003</v>
      </c>
      <c r="AI13" s="4">
        <f>X13*$AK$5</f>
        <v>0.40659999999999996</v>
      </c>
      <c r="AK13">
        <v>38</v>
      </c>
    </row>
    <row r="14" spans="2:37" ht="14.4" thickBot="1" x14ac:dyDescent="0.3">
      <c r="B14" s="111">
        <f>X14+E14</f>
        <v>35</v>
      </c>
      <c r="C14" s="112">
        <f t="shared" si="0"/>
        <v>0.70000000000000007</v>
      </c>
      <c r="D14" s="32"/>
      <c r="E14" s="118">
        <f>E13+0.67</f>
        <v>14.67</v>
      </c>
      <c r="F14" s="188">
        <f t="shared" si="1"/>
        <v>0.41914285714285715</v>
      </c>
      <c r="G14" s="49"/>
      <c r="H14" s="86">
        <f t="shared" si="2"/>
        <v>0.29339999999999999</v>
      </c>
      <c r="I14" s="87">
        <f t="shared" si="3"/>
        <v>0.29340000000000005</v>
      </c>
      <c r="J14" s="93"/>
      <c r="K14" s="184">
        <f t="shared" si="4"/>
        <v>0.02</v>
      </c>
      <c r="L14" s="184">
        <f t="shared" si="5"/>
        <v>2.0000000000000004E-2</v>
      </c>
      <c r="M14" s="127">
        <f t="shared" si="6"/>
        <v>0</v>
      </c>
      <c r="N14" s="125">
        <f t="shared" si="8"/>
        <v>-2.2204460492503131E-16</v>
      </c>
      <c r="T14" s="212"/>
      <c r="U14" s="22"/>
      <c r="V14" s="71"/>
      <c r="X14">
        <f>+$X$9</f>
        <v>20.329999999999998</v>
      </c>
      <c r="Y14" s="4"/>
      <c r="Z14" s="7"/>
      <c r="AB14" s="4"/>
      <c r="AC14" s="2"/>
      <c r="AF14" s="4"/>
      <c r="AI14" s="4"/>
    </row>
    <row r="15" spans="2:37" ht="4.05" customHeight="1" thickBot="1" x14ac:dyDescent="0.3">
      <c r="B15" s="39"/>
      <c r="C15" s="112"/>
      <c r="D15" s="32"/>
      <c r="E15" s="119"/>
      <c r="F15" s="45"/>
      <c r="G15" s="49"/>
      <c r="H15" s="86"/>
      <c r="I15" s="87"/>
      <c r="J15" s="93"/>
      <c r="K15" s="183"/>
      <c r="L15" s="132"/>
      <c r="M15" s="128"/>
      <c r="N15" s="164">
        <f t="shared" si="8"/>
        <v>1</v>
      </c>
      <c r="T15" s="212"/>
      <c r="U15" s="22"/>
      <c r="Y15" s="4"/>
      <c r="Z15" s="7"/>
      <c r="AB15" s="4"/>
      <c r="AC15" s="2"/>
      <c r="AF15" s="4"/>
      <c r="AI15" s="4"/>
    </row>
    <row r="16" spans="2:37" x14ac:dyDescent="0.25">
      <c r="B16" s="39">
        <f t="shared" ref="B16:B22" si="11">X16+E16</f>
        <v>35.33</v>
      </c>
      <c r="C16" s="113">
        <f t="shared" ref="C16:C36" si="12">(B16*$H$5)-((B16-$B$14)*2%)</f>
        <v>0.70000000000000007</v>
      </c>
      <c r="D16" s="29"/>
      <c r="E16" s="120">
        <f>E13+1</f>
        <v>15</v>
      </c>
      <c r="F16" s="46">
        <f>E16/B16</f>
        <v>0.42456835550523636</v>
      </c>
      <c r="G16" s="70"/>
      <c r="H16" s="84">
        <f t="shared" ref="H16:H36" si="13">E16*$H$5</f>
        <v>0.3</v>
      </c>
      <c r="I16" s="88">
        <f t="shared" ref="I16:I36" si="14">F16*C16</f>
        <v>0.29719784885366546</v>
      </c>
      <c r="J16" s="25"/>
      <c r="K16" s="183">
        <f t="shared" ref="K16:K36" si="15">H16/E16</f>
        <v>0.02</v>
      </c>
      <c r="L16" s="185">
        <f t="shared" ref="L16:L36" si="16">I16/E16</f>
        <v>1.9813189923577699E-2</v>
      </c>
      <c r="M16" s="162">
        <f t="shared" ref="M16:M36" si="17">-H16+I16</f>
        <v>-2.8021511463345306E-3</v>
      </c>
      <c r="N16" s="165">
        <f>((L16/$C$6)-1)</f>
        <v>-9.3405038211150648E-3</v>
      </c>
      <c r="T16" s="24"/>
      <c r="U16" s="30"/>
      <c r="X16" s="6">
        <f t="shared" ref="X16:X32" si="18">+$X$9</f>
        <v>20.329999999999998</v>
      </c>
      <c r="Y16" s="4">
        <f t="shared" ref="Y16:Y23" si="19">X16/B16</f>
        <v>0.57543164449476358</v>
      </c>
      <c r="Z16" s="12">
        <f t="shared" ref="Z16:Z23" si="20">AD16+AB16</f>
        <v>1.7197848853665432E-2</v>
      </c>
      <c r="AB16" s="13">
        <f>I16-I13</f>
        <v>1.7197848853665432E-2</v>
      </c>
      <c r="AC16" s="14">
        <f t="shared" ref="AC16:AC23" si="21" xml:space="preserve"> $E$6*I16</f>
        <v>10104.726861024626</v>
      </c>
      <c r="AF16" s="4">
        <f t="shared" ref="AF16:AF23" si="22">E16*$AK$5</f>
        <v>0.3</v>
      </c>
      <c r="AI16" s="4">
        <f>X16*$AK$5</f>
        <v>0.40659999999999996</v>
      </c>
      <c r="AK16">
        <v>40</v>
      </c>
    </row>
    <row r="17" spans="2:37" x14ac:dyDescent="0.25">
      <c r="B17" s="38">
        <f t="shared" si="11"/>
        <v>36.33</v>
      </c>
      <c r="C17" s="113">
        <f t="shared" si="12"/>
        <v>0.70000000000000007</v>
      </c>
      <c r="D17" s="29"/>
      <c r="E17" s="38">
        <f>E16+1</f>
        <v>16</v>
      </c>
      <c r="F17" s="47">
        <f t="shared" ref="F17:F36" si="23">E17/B17</f>
        <v>0.44040737682356179</v>
      </c>
      <c r="G17" s="20"/>
      <c r="H17" s="84">
        <f t="shared" si="13"/>
        <v>0.32</v>
      </c>
      <c r="I17" s="88">
        <f t="shared" si="14"/>
        <v>0.30828516377649329</v>
      </c>
      <c r="J17" s="25"/>
      <c r="K17" s="183">
        <f t="shared" si="15"/>
        <v>0.02</v>
      </c>
      <c r="L17" s="185">
        <f t="shared" si="16"/>
        <v>1.926782273603083E-2</v>
      </c>
      <c r="M17" s="162">
        <f t="shared" si="17"/>
        <v>-1.1714836223506719E-2</v>
      </c>
      <c r="N17" s="165">
        <f t="shared" ref="N17:N36" si="24">((L17/$C$6)-1)</f>
        <v>-3.6608863198458463E-2</v>
      </c>
      <c r="T17" s="24"/>
      <c r="U17" s="24"/>
      <c r="X17">
        <f t="shared" si="18"/>
        <v>20.329999999999998</v>
      </c>
      <c r="Y17" s="4">
        <f t="shared" si="19"/>
        <v>0.55959262317643821</v>
      </c>
      <c r="Z17" s="7">
        <f t="shared" si="20"/>
        <v>0</v>
      </c>
      <c r="AB17" s="4"/>
      <c r="AC17" s="2">
        <f t="shared" si="21"/>
        <v>10481.695568400772</v>
      </c>
      <c r="AF17" s="4">
        <f t="shared" si="22"/>
        <v>0.32</v>
      </c>
      <c r="AI17" s="4">
        <f>X17*$AK$5</f>
        <v>0.40659999999999996</v>
      </c>
      <c r="AK17">
        <v>42.33</v>
      </c>
    </row>
    <row r="18" spans="2:37" x14ac:dyDescent="0.25">
      <c r="B18" s="38">
        <f t="shared" si="11"/>
        <v>37.33</v>
      </c>
      <c r="C18" s="113">
        <f t="shared" si="12"/>
        <v>0.7</v>
      </c>
      <c r="D18" s="29"/>
      <c r="E18" s="38">
        <f t="shared" si="10"/>
        <v>17</v>
      </c>
      <c r="F18" s="47">
        <f t="shared" si="23"/>
        <v>0.45539780337530139</v>
      </c>
      <c r="G18" s="20"/>
      <c r="H18" s="84">
        <f t="shared" si="13"/>
        <v>0.34</v>
      </c>
      <c r="I18" s="85">
        <f t="shared" si="14"/>
        <v>0.31877846236271096</v>
      </c>
      <c r="J18" s="15"/>
      <c r="K18" s="183">
        <f t="shared" si="15"/>
        <v>0.02</v>
      </c>
      <c r="L18" s="185">
        <f t="shared" si="16"/>
        <v>1.8751674256630057E-2</v>
      </c>
      <c r="M18" s="162">
        <f t="shared" si="17"/>
        <v>-2.1221537637289067E-2</v>
      </c>
      <c r="N18" s="165">
        <f t="shared" si="24"/>
        <v>-6.241628716849712E-2</v>
      </c>
      <c r="T18" s="24"/>
      <c r="U18" s="24"/>
      <c r="X18">
        <f t="shared" si="18"/>
        <v>20.329999999999998</v>
      </c>
      <c r="Y18" s="4">
        <f t="shared" si="19"/>
        <v>0.54460219662469866</v>
      </c>
      <c r="Z18" s="7">
        <f t="shared" si="20"/>
        <v>0</v>
      </c>
      <c r="AB18" s="4"/>
      <c r="AC18" s="2">
        <f t="shared" si="21"/>
        <v>10838.467720332172</v>
      </c>
      <c r="AF18" s="4">
        <f t="shared" si="22"/>
        <v>0.34</v>
      </c>
    </row>
    <row r="19" spans="2:37" x14ac:dyDescent="0.25">
      <c r="B19" s="38">
        <f t="shared" si="11"/>
        <v>38.33</v>
      </c>
      <c r="C19" s="113">
        <f t="shared" si="12"/>
        <v>0.7</v>
      </c>
      <c r="D19" s="29"/>
      <c r="E19" s="38">
        <f t="shared" si="10"/>
        <v>18</v>
      </c>
      <c r="F19" s="44">
        <f t="shared" si="23"/>
        <v>0.46960605270023481</v>
      </c>
      <c r="G19" s="21"/>
      <c r="H19" s="84">
        <f t="shared" si="13"/>
        <v>0.36</v>
      </c>
      <c r="I19" s="85">
        <f t="shared" si="14"/>
        <v>0.32872423689016433</v>
      </c>
      <c r="J19" s="15"/>
      <c r="K19" s="183">
        <f t="shared" si="15"/>
        <v>0.02</v>
      </c>
      <c r="L19" s="185">
        <f t="shared" si="16"/>
        <v>1.8262457605009129E-2</v>
      </c>
      <c r="M19" s="162">
        <f t="shared" si="17"/>
        <v>-3.1275763109835653E-2</v>
      </c>
      <c r="N19" s="165">
        <f t="shared" si="24"/>
        <v>-8.6877119749543597E-2</v>
      </c>
      <c r="T19" s="24"/>
      <c r="U19" s="24"/>
      <c r="X19">
        <f t="shared" si="18"/>
        <v>20.329999999999998</v>
      </c>
      <c r="Y19" s="4">
        <f t="shared" si="19"/>
        <v>0.53039394729976519</v>
      </c>
      <c r="Z19" s="7">
        <f t="shared" si="20"/>
        <v>0</v>
      </c>
      <c r="AB19" s="4"/>
      <c r="AC19" s="2">
        <f t="shared" si="21"/>
        <v>11176.624054265587</v>
      </c>
      <c r="AF19" s="4">
        <f t="shared" si="22"/>
        <v>0.36</v>
      </c>
    </row>
    <row r="20" spans="2:37" x14ac:dyDescent="0.25">
      <c r="B20" s="38">
        <f t="shared" si="11"/>
        <v>39.33</v>
      </c>
      <c r="C20" s="113">
        <f t="shared" si="12"/>
        <v>0.7</v>
      </c>
      <c r="D20" s="29"/>
      <c r="E20" s="38">
        <f t="shared" si="10"/>
        <v>19</v>
      </c>
      <c r="F20" s="44">
        <f t="shared" si="23"/>
        <v>0.48309178743961356</v>
      </c>
      <c r="G20" s="21"/>
      <c r="H20" s="84">
        <f t="shared" si="13"/>
        <v>0.38</v>
      </c>
      <c r="I20" s="85">
        <f t="shared" si="14"/>
        <v>0.33816425120772947</v>
      </c>
      <c r="J20" s="15"/>
      <c r="K20" s="184">
        <f t="shared" si="15"/>
        <v>0.02</v>
      </c>
      <c r="L20" s="185">
        <f t="shared" si="16"/>
        <v>1.7798118484617341E-2</v>
      </c>
      <c r="M20" s="162">
        <f t="shared" si="17"/>
        <v>-4.1835748792270533E-2</v>
      </c>
      <c r="N20" s="165">
        <f t="shared" si="24"/>
        <v>-0.11009407576913299</v>
      </c>
      <c r="T20" s="24"/>
      <c r="U20" s="24"/>
      <c r="X20">
        <f t="shared" si="18"/>
        <v>20.329999999999998</v>
      </c>
      <c r="Y20" s="4">
        <f t="shared" si="19"/>
        <v>0.51690821256038644</v>
      </c>
      <c r="Z20" s="7">
        <f t="shared" si="20"/>
        <v>0</v>
      </c>
      <c r="AB20" s="4"/>
      <c r="AC20" s="2">
        <f t="shared" si="21"/>
        <v>11497.584541062803</v>
      </c>
      <c r="AF20" s="4">
        <f t="shared" si="22"/>
        <v>0.38</v>
      </c>
    </row>
    <row r="21" spans="2:37" x14ac:dyDescent="0.25">
      <c r="B21" s="38">
        <f t="shared" si="11"/>
        <v>40.33</v>
      </c>
      <c r="C21" s="113">
        <f t="shared" si="12"/>
        <v>0.7</v>
      </c>
      <c r="D21" s="29"/>
      <c r="E21" s="38">
        <f t="shared" si="10"/>
        <v>20</v>
      </c>
      <c r="F21" s="44">
        <f t="shared" si="23"/>
        <v>0.49590875278948676</v>
      </c>
      <c r="G21" s="21"/>
      <c r="H21" s="84">
        <f t="shared" si="13"/>
        <v>0.4</v>
      </c>
      <c r="I21" s="85">
        <f t="shared" si="14"/>
        <v>0.34713612695264073</v>
      </c>
      <c r="J21" s="15"/>
      <c r="K21" s="183">
        <f t="shared" si="15"/>
        <v>0.02</v>
      </c>
      <c r="L21" s="185">
        <f t="shared" si="16"/>
        <v>1.7356806347632037E-2</v>
      </c>
      <c r="M21" s="162">
        <f t="shared" si="17"/>
        <v>-5.2863873047359289E-2</v>
      </c>
      <c r="N21" s="165">
        <f t="shared" si="24"/>
        <v>-0.13215968261839817</v>
      </c>
      <c r="T21" s="24"/>
      <c r="U21" s="24"/>
      <c r="X21">
        <f t="shared" si="18"/>
        <v>20.329999999999998</v>
      </c>
      <c r="Y21" s="4">
        <f t="shared" si="19"/>
        <v>0.50409124721051324</v>
      </c>
      <c r="Z21" s="7">
        <f t="shared" si="20"/>
        <v>0</v>
      </c>
      <c r="AB21" s="4"/>
      <c r="AC21" s="2">
        <f t="shared" si="21"/>
        <v>11802.628316389784</v>
      </c>
      <c r="AF21" s="4">
        <f t="shared" si="22"/>
        <v>0.4</v>
      </c>
    </row>
    <row r="22" spans="2:37" ht="14.4" thickBot="1" x14ac:dyDescent="0.3">
      <c r="B22" s="38">
        <f t="shared" si="11"/>
        <v>41.33</v>
      </c>
      <c r="C22" s="113">
        <f t="shared" si="12"/>
        <v>0.70000000000000007</v>
      </c>
      <c r="D22" s="29"/>
      <c r="E22" s="38">
        <f t="shared" si="10"/>
        <v>21</v>
      </c>
      <c r="F22" s="44">
        <f t="shared" si="23"/>
        <v>0.50810549237841762</v>
      </c>
      <c r="G22" s="21"/>
      <c r="H22" s="84">
        <f t="shared" si="13"/>
        <v>0.42</v>
      </c>
      <c r="I22" s="85">
        <f t="shared" si="14"/>
        <v>0.35567384466489238</v>
      </c>
      <c r="J22" s="15"/>
      <c r="K22" s="183">
        <f t="shared" si="15"/>
        <v>0.02</v>
      </c>
      <c r="L22" s="185">
        <f t="shared" si="16"/>
        <v>1.6936849745947256E-2</v>
      </c>
      <c r="M22" s="162">
        <f t="shared" si="17"/>
        <v>-6.4326155335107604E-2</v>
      </c>
      <c r="N22" s="165">
        <f t="shared" si="24"/>
        <v>-0.15315751270263722</v>
      </c>
      <c r="T22" s="24"/>
      <c r="U22" s="24"/>
      <c r="X22">
        <f t="shared" si="18"/>
        <v>20.329999999999998</v>
      </c>
      <c r="Y22" s="4">
        <f t="shared" si="19"/>
        <v>0.49189450762158238</v>
      </c>
      <c r="Z22" s="7">
        <f t="shared" si="20"/>
        <v>0</v>
      </c>
      <c r="AB22" s="4"/>
      <c r="AC22" s="2">
        <f t="shared" si="21"/>
        <v>12092.910718606341</v>
      </c>
      <c r="AF22" s="4">
        <f t="shared" si="22"/>
        <v>0.42</v>
      </c>
    </row>
    <row r="23" spans="2:37" ht="14.4" thickBot="1" x14ac:dyDescent="0.3">
      <c r="B23" s="171">
        <f>X23+E23+0.33</f>
        <v>42.66</v>
      </c>
      <c r="C23" s="172">
        <f t="shared" si="12"/>
        <v>0.7</v>
      </c>
      <c r="D23" s="29"/>
      <c r="E23" s="171">
        <f t="shared" si="10"/>
        <v>22</v>
      </c>
      <c r="F23" s="173">
        <f t="shared" si="23"/>
        <v>0.51570557899671832</v>
      </c>
      <c r="G23" s="21"/>
      <c r="H23" s="133">
        <f t="shared" si="13"/>
        <v>0.44</v>
      </c>
      <c r="I23" s="134">
        <f t="shared" si="14"/>
        <v>0.36099390529770281</v>
      </c>
      <c r="J23" s="15"/>
      <c r="K23" s="181">
        <f t="shared" si="15"/>
        <v>0.02</v>
      </c>
      <c r="L23" s="186">
        <f t="shared" si="16"/>
        <v>1.6408813877168308E-2</v>
      </c>
      <c r="M23" s="163">
        <f t="shared" si="17"/>
        <v>-7.9006094702297192E-2</v>
      </c>
      <c r="N23" s="166">
        <f t="shared" si="24"/>
        <v>-0.17955930614158466</v>
      </c>
      <c r="T23" s="24"/>
      <c r="U23" s="24"/>
      <c r="X23">
        <f t="shared" si="18"/>
        <v>20.329999999999998</v>
      </c>
      <c r="Y23" s="4">
        <f t="shared" si="19"/>
        <v>0.47655883731833099</v>
      </c>
      <c r="Z23" s="7">
        <f t="shared" si="20"/>
        <v>0</v>
      </c>
      <c r="AB23" s="4"/>
      <c r="AC23" s="2">
        <f t="shared" si="21"/>
        <v>12273.792780121896</v>
      </c>
      <c r="AF23" s="4">
        <f t="shared" si="22"/>
        <v>0.44</v>
      </c>
    </row>
    <row r="24" spans="2:37" x14ac:dyDescent="0.25">
      <c r="B24" s="38">
        <f>X24+E24+0.33</f>
        <v>43</v>
      </c>
      <c r="C24" s="113">
        <f t="shared" si="12"/>
        <v>0.7</v>
      </c>
      <c r="D24" s="29"/>
      <c r="E24" s="38">
        <f>E23+0.34</f>
        <v>22.34</v>
      </c>
      <c r="F24" s="47">
        <f t="shared" si="23"/>
        <v>0.51953488372093026</v>
      </c>
      <c r="G24" s="20"/>
      <c r="H24" s="89">
        <f t="shared" si="13"/>
        <v>0.44680000000000003</v>
      </c>
      <c r="I24" s="88">
        <f t="shared" si="14"/>
        <v>0.36367441860465116</v>
      </c>
      <c r="J24" s="25"/>
      <c r="K24" s="183">
        <f t="shared" si="15"/>
        <v>0.02</v>
      </c>
      <c r="L24" s="185">
        <f t="shared" si="16"/>
        <v>1.627906976744186E-2</v>
      </c>
      <c r="M24" s="162">
        <f t="shared" si="17"/>
        <v>-8.3125581395348869E-2</v>
      </c>
      <c r="N24" s="165">
        <f t="shared" si="24"/>
        <v>-0.18604651162790697</v>
      </c>
      <c r="T24" s="24"/>
      <c r="U24" s="24"/>
      <c r="X24">
        <f t="shared" si="18"/>
        <v>20.329999999999998</v>
      </c>
      <c r="Y24" s="4"/>
      <c r="Z24" s="7"/>
      <c r="AB24" s="4"/>
      <c r="AC24" s="2"/>
      <c r="AF24" s="4"/>
    </row>
    <row r="25" spans="2:37" x14ac:dyDescent="0.25">
      <c r="B25" s="38">
        <f t="shared" ref="B25:B32" si="25">X25+E25</f>
        <v>43.33</v>
      </c>
      <c r="C25" s="113">
        <f t="shared" si="12"/>
        <v>0.70000000000000007</v>
      </c>
      <c r="D25" s="29"/>
      <c r="E25" s="38">
        <f>E23+1</f>
        <v>23</v>
      </c>
      <c r="F25" s="44">
        <f t="shared" si="23"/>
        <v>0.53081006231248562</v>
      </c>
      <c r="G25" s="21"/>
      <c r="H25" s="84">
        <f t="shared" si="13"/>
        <v>0.46</v>
      </c>
      <c r="I25" s="85">
        <f t="shared" si="14"/>
        <v>0.37156704361873999</v>
      </c>
      <c r="J25" s="15"/>
      <c r="K25" s="183">
        <f t="shared" si="15"/>
        <v>0.02</v>
      </c>
      <c r="L25" s="185">
        <f t="shared" si="16"/>
        <v>1.6155088852988695E-2</v>
      </c>
      <c r="M25" s="162">
        <f t="shared" si="17"/>
        <v>-8.8432956381260031E-2</v>
      </c>
      <c r="N25" s="165">
        <f t="shared" si="24"/>
        <v>-0.19224555735056525</v>
      </c>
      <c r="T25" s="24"/>
      <c r="U25" s="24"/>
      <c r="X25">
        <f t="shared" si="18"/>
        <v>20.329999999999998</v>
      </c>
      <c r="Y25" s="4">
        <f t="shared" ref="Y25:Y32" si="26">X25/B25</f>
        <v>0.46918993768751438</v>
      </c>
      <c r="Z25" s="7">
        <f t="shared" ref="Z25:Z32" si="27">AD25+AB25</f>
        <v>0</v>
      </c>
      <c r="AB25" s="4"/>
      <c r="AC25" s="2">
        <f t="shared" ref="AC25:AC32" si="28" xml:space="preserve"> $E$6*I25</f>
        <v>12633.27948303716</v>
      </c>
      <c r="AF25" s="4">
        <f t="shared" ref="AF25:AF32" si="29">E25*$AK$5</f>
        <v>0.46</v>
      </c>
    </row>
    <row r="26" spans="2:37" x14ac:dyDescent="0.25">
      <c r="B26" s="38">
        <f t="shared" si="25"/>
        <v>44.33</v>
      </c>
      <c r="C26" s="113">
        <f t="shared" si="12"/>
        <v>0.7</v>
      </c>
      <c r="D26" s="29"/>
      <c r="E26" s="38">
        <f t="shared" si="10"/>
        <v>24</v>
      </c>
      <c r="F26" s="44">
        <f t="shared" si="23"/>
        <v>0.54139408978118653</v>
      </c>
      <c r="G26" s="21"/>
      <c r="H26" s="84">
        <f t="shared" si="13"/>
        <v>0.48</v>
      </c>
      <c r="I26" s="85">
        <f t="shared" si="14"/>
        <v>0.37897586284683055</v>
      </c>
      <c r="J26" s="15"/>
      <c r="K26" s="184">
        <f t="shared" si="15"/>
        <v>0.02</v>
      </c>
      <c r="L26" s="185">
        <f t="shared" si="16"/>
        <v>1.5790660951951273E-2</v>
      </c>
      <c r="M26" s="162">
        <f t="shared" si="17"/>
        <v>-0.10102413715316944</v>
      </c>
      <c r="N26" s="165">
        <f t="shared" si="24"/>
        <v>-0.2104669524024364</v>
      </c>
      <c r="T26" s="24"/>
      <c r="U26" s="24"/>
      <c r="X26">
        <f t="shared" si="18"/>
        <v>20.329999999999998</v>
      </c>
      <c r="Y26" s="4">
        <f t="shared" si="26"/>
        <v>0.45860591021881342</v>
      </c>
      <c r="Z26" s="7">
        <f t="shared" si="27"/>
        <v>0</v>
      </c>
      <c r="AB26" s="4"/>
      <c r="AC26" s="2">
        <f t="shared" si="28"/>
        <v>12885.179336792238</v>
      </c>
      <c r="AF26" s="4">
        <f t="shared" si="29"/>
        <v>0.48</v>
      </c>
    </row>
    <row r="27" spans="2:37" x14ac:dyDescent="0.25">
      <c r="B27" s="38">
        <f t="shared" si="25"/>
        <v>45.33</v>
      </c>
      <c r="C27" s="113">
        <f t="shared" si="12"/>
        <v>0.7</v>
      </c>
      <c r="D27" s="29"/>
      <c r="E27" s="38">
        <f t="shared" si="10"/>
        <v>25</v>
      </c>
      <c r="F27" s="44">
        <f t="shared" si="23"/>
        <v>0.55151114052503858</v>
      </c>
      <c r="G27" s="21"/>
      <c r="H27" s="84">
        <f t="shared" si="13"/>
        <v>0.5</v>
      </c>
      <c r="I27" s="85">
        <f t="shared" si="14"/>
        <v>0.38605779836752696</v>
      </c>
      <c r="J27" s="15"/>
      <c r="K27" s="183">
        <f t="shared" si="15"/>
        <v>0.02</v>
      </c>
      <c r="L27" s="185">
        <f t="shared" si="16"/>
        <v>1.5442311934701079E-2</v>
      </c>
      <c r="M27" s="162">
        <f t="shared" si="17"/>
        <v>-0.11394220163247304</v>
      </c>
      <c r="N27" s="165">
        <f t="shared" si="24"/>
        <v>-0.22788440326494608</v>
      </c>
      <c r="T27" s="24"/>
      <c r="U27" s="24"/>
      <c r="X27">
        <f t="shared" si="18"/>
        <v>20.329999999999998</v>
      </c>
      <c r="Y27" s="4">
        <f t="shared" si="26"/>
        <v>0.44848885947496137</v>
      </c>
      <c r="Z27" s="7">
        <f t="shared" si="27"/>
        <v>0</v>
      </c>
      <c r="AB27" s="4"/>
      <c r="AC27" s="2">
        <f t="shared" si="28"/>
        <v>13125.965144495916</v>
      </c>
      <c r="AF27" s="4">
        <f t="shared" si="29"/>
        <v>0.5</v>
      </c>
    </row>
    <row r="28" spans="2:37" x14ac:dyDescent="0.25">
      <c r="B28" s="38">
        <f t="shared" si="25"/>
        <v>46.33</v>
      </c>
      <c r="C28" s="113">
        <f t="shared" si="12"/>
        <v>0.7</v>
      </c>
      <c r="D28" s="29"/>
      <c r="E28" s="38">
        <f t="shared" si="10"/>
        <v>26</v>
      </c>
      <c r="F28" s="44">
        <f t="shared" si="23"/>
        <v>0.56119145262249082</v>
      </c>
      <c r="G28" s="21"/>
      <c r="H28" s="84">
        <f t="shared" si="13"/>
        <v>0.52</v>
      </c>
      <c r="I28" s="85">
        <f t="shared" si="14"/>
        <v>0.39283401683574354</v>
      </c>
      <c r="J28" s="15"/>
      <c r="K28" s="183">
        <f t="shared" si="15"/>
        <v>0.02</v>
      </c>
      <c r="L28" s="185">
        <f t="shared" si="16"/>
        <v>1.5109000647528598E-2</v>
      </c>
      <c r="M28" s="162">
        <f t="shared" si="17"/>
        <v>-0.12716598316425648</v>
      </c>
      <c r="N28" s="165">
        <f t="shared" si="24"/>
        <v>-0.24454996762357017</v>
      </c>
      <c r="T28" s="24"/>
      <c r="U28" s="24"/>
      <c r="X28">
        <f t="shared" si="18"/>
        <v>20.329999999999998</v>
      </c>
      <c r="Y28" s="4">
        <f t="shared" si="26"/>
        <v>0.43880854737750913</v>
      </c>
      <c r="Z28" s="7">
        <f t="shared" si="27"/>
        <v>0</v>
      </c>
      <c r="AB28" s="4"/>
      <c r="AC28" s="2">
        <f t="shared" si="28"/>
        <v>13356.35657241528</v>
      </c>
      <c r="AF28" s="4">
        <f t="shared" si="29"/>
        <v>0.52</v>
      </c>
    </row>
    <row r="29" spans="2:37" x14ac:dyDescent="0.25">
      <c r="B29" s="38">
        <f t="shared" si="25"/>
        <v>47.33</v>
      </c>
      <c r="C29" s="113">
        <f t="shared" si="12"/>
        <v>0.70000000000000007</v>
      </c>
      <c r="D29" s="29"/>
      <c r="E29" s="38">
        <f t="shared" si="10"/>
        <v>27</v>
      </c>
      <c r="F29" s="44">
        <f t="shared" si="23"/>
        <v>0.57046270864145365</v>
      </c>
      <c r="G29" s="21"/>
      <c r="H29" s="84">
        <f t="shared" si="13"/>
        <v>0.54</v>
      </c>
      <c r="I29" s="85">
        <f t="shared" si="14"/>
        <v>0.39932389604901758</v>
      </c>
      <c r="J29" s="15"/>
      <c r="K29" s="183">
        <f t="shared" si="15"/>
        <v>0.02</v>
      </c>
      <c r="L29" s="185">
        <f t="shared" si="16"/>
        <v>1.4789773927741392E-2</v>
      </c>
      <c r="M29" s="162">
        <f t="shared" si="17"/>
        <v>-0.14067610395098246</v>
      </c>
      <c r="N29" s="165">
        <f t="shared" si="24"/>
        <v>-0.2605113036129304</v>
      </c>
      <c r="T29" s="24"/>
      <c r="U29" s="24"/>
      <c r="X29">
        <f t="shared" si="18"/>
        <v>20.329999999999998</v>
      </c>
      <c r="Y29" s="4">
        <f t="shared" si="26"/>
        <v>0.42953729135854635</v>
      </c>
      <c r="Z29" s="7">
        <f t="shared" si="27"/>
        <v>0</v>
      </c>
      <c r="AB29" s="4"/>
      <c r="AC29" s="2">
        <f t="shared" si="28"/>
        <v>13577.012465666598</v>
      </c>
      <c r="AF29" s="4">
        <f t="shared" si="29"/>
        <v>0.54</v>
      </c>
    </row>
    <row r="30" spans="2:37" x14ac:dyDescent="0.25">
      <c r="B30" s="38">
        <f t="shared" si="25"/>
        <v>48.33</v>
      </c>
      <c r="C30" s="113">
        <f t="shared" si="12"/>
        <v>0.70000000000000007</v>
      </c>
      <c r="D30" s="29"/>
      <c r="E30" s="38">
        <f t="shared" si="10"/>
        <v>28</v>
      </c>
      <c r="F30" s="44">
        <f t="shared" si="23"/>
        <v>0.5793503000206911</v>
      </c>
      <c r="G30" s="21"/>
      <c r="H30" s="84">
        <f t="shared" si="13"/>
        <v>0.56000000000000005</v>
      </c>
      <c r="I30" s="85">
        <f t="shared" si="14"/>
        <v>0.40554521001448379</v>
      </c>
      <c r="J30" s="15"/>
      <c r="K30" s="183">
        <f t="shared" si="15"/>
        <v>0.02</v>
      </c>
      <c r="L30" s="185">
        <f t="shared" si="16"/>
        <v>1.4483757500517279E-2</v>
      </c>
      <c r="M30" s="162">
        <f t="shared" si="17"/>
        <v>-0.15445478998551626</v>
      </c>
      <c r="N30" s="165">
        <f t="shared" si="24"/>
        <v>-0.2758121249741361</v>
      </c>
      <c r="T30" s="24"/>
      <c r="U30" s="24"/>
      <c r="X30">
        <f t="shared" si="18"/>
        <v>20.329999999999998</v>
      </c>
      <c r="Y30" s="4">
        <f t="shared" si="26"/>
        <v>0.4206496999793089</v>
      </c>
      <c r="Z30" s="7">
        <f t="shared" si="27"/>
        <v>0</v>
      </c>
      <c r="AB30" s="4"/>
      <c r="AC30" s="2">
        <f t="shared" si="28"/>
        <v>13788.537140492448</v>
      </c>
      <c r="AF30" s="4">
        <f t="shared" si="29"/>
        <v>0.56000000000000005</v>
      </c>
    </row>
    <row r="31" spans="2:37" x14ac:dyDescent="0.25">
      <c r="B31" s="38">
        <f t="shared" si="25"/>
        <v>49.33</v>
      </c>
      <c r="C31" s="113">
        <f t="shared" si="12"/>
        <v>0.70000000000000007</v>
      </c>
      <c r="D31" s="29"/>
      <c r="E31" s="38">
        <f t="shared" si="10"/>
        <v>29</v>
      </c>
      <c r="F31" s="44">
        <f t="shared" si="23"/>
        <v>0.58787755929454699</v>
      </c>
      <c r="G31" s="21"/>
      <c r="H31" s="84">
        <f t="shared" si="13"/>
        <v>0.57999999999999996</v>
      </c>
      <c r="I31" s="85">
        <f t="shared" si="14"/>
        <v>0.41151429150618296</v>
      </c>
      <c r="J31" s="15"/>
      <c r="K31" s="183">
        <f t="shared" si="15"/>
        <v>1.9999999999999997E-2</v>
      </c>
      <c r="L31" s="185">
        <f t="shared" si="16"/>
        <v>1.4190147982971826E-2</v>
      </c>
      <c r="M31" s="162">
        <f t="shared" si="17"/>
        <v>-0.168485708493817</v>
      </c>
      <c r="N31" s="165">
        <f t="shared" si="24"/>
        <v>-0.29049260085140871</v>
      </c>
      <c r="T31" s="24"/>
      <c r="U31" s="24"/>
      <c r="X31">
        <f t="shared" si="18"/>
        <v>20.329999999999998</v>
      </c>
      <c r="Y31" s="4">
        <f t="shared" si="26"/>
        <v>0.41212244070545306</v>
      </c>
      <c r="Z31" s="7">
        <f t="shared" si="27"/>
        <v>0</v>
      </c>
      <c r="AB31" s="4"/>
      <c r="AC31" s="2">
        <f t="shared" si="28"/>
        <v>13991.48591121022</v>
      </c>
      <c r="AF31" s="4">
        <f t="shared" si="29"/>
        <v>0.57999999999999996</v>
      </c>
    </row>
    <row r="32" spans="2:37" x14ac:dyDescent="0.25">
      <c r="B32" s="38">
        <f t="shared" si="25"/>
        <v>50.33</v>
      </c>
      <c r="C32" s="113">
        <f t="shared" si="12"/>
        <v>0.7</v>
      </c>
      <c r="D32" s="29"/>
      <c r="E32" s="38">
        <f t="shared" si="10"/>
        <v>30</v>
      </c>
      <c r="F32" s="44">
        <f t="shared" si="23"/>
        <v>0.59606596463341943</v>
      </c>
      <c r="G32" s="21"/>
      <c r="H32" s="84">
        <f t="shared" si="13"/>
        <v>0.6</v>
      </c>
      <c r="I32" s="85">
        <f t="shared" si="14"/>
        <v>0.41724617524339358</v>
      </c>
      <c r="J32" s="15"/>
      <c r="K32" s="184">
        <f t="shared" si="15"/>
        <v>0.02</v>
      </c>
      <c r="L32" s="185">
        <f t="shared" si="16"/>
        <v>1.3908205841446452E-2</v>
      </c>
      <c r="M32" s="162">
        <f t="shared" si="17"/>
        <v>-0.1827538247566064</v>
      </c>
      <c r="N32" s="165">
        <f t="shared" si="24"/>
        <v>-0.30458970792767737</v>
      </c>
      <c r="T32" s="24"/>
      <c r="U32" s="24"/>
      <c r="X32">
        <f t="shared" si="18"/>
        <v>20.329999999999998</v>
      </c>
      <c r="Y32" s="4">
        <f t="shared" si="26"/>
        <v>0.40393403536658057</v>
      </c>
      <c r="Z32" s="7">
        <f t="shared" si="27"/>
        <v>0</v>
      </c>
      <c r="AB32" s="4"/>
      <c r="AC32" s="2">
        <f t="shared" si="28"/>
        <v>14186.369958275382</v>
      </c>
      <c r="AF32" s="4">
        <f t="shared" si="29"/>
        <v>0.6</v>
      </c>
    </row>
    <row r="33" spans="2:20" x14ac:dyDescent="0.25">
      <c r="B33" s="38">
        <v>55</v>
      </c>
      <c r="C33" s="113">
        <f t="shared" si="12"/>
        <v>0.70000000000000007</v>
      </c>
      <c r="D33" s="29"/>
      <c r="E33" s="38">
        <f t="shared" si="10"/>
        <v>31</v>
      </c>
      <c r="F33" s="44">
        <f t="shared" si="23"/>
        <v>0.5636363636363636</v>
      </c>
      <c r="G33" s="21"/>
      <c r="H33" s="84">
        <f t="shared" si="13"/>
        <v>0.62</v>
      </c>
      <c r="I33" s="85">
        <f t="shared" si="14"/>
        <v>0.39454545454545453</v>
      </c>
      <c r="J33" s="15"/>
      <c r="K33" s="183">
        <f t="shared" si="15"/>
        <v>0.02</v>
      </c>
      <c r="L33" s="185">
        <f t="shared" si="16"/>
        <v>1.2727272727272728E-2</v>
      </c>
      <c r="M33" s="162">
        <f t="shared" si="17"/>
        <v>-0.22545454545454546</v>
      </c>
      <c r="N33" s="165">
        <f t="shared" si="24"/>
        <v>-0.36363636363636365</v>
      </c>
      <c r="T33" s="24"/>
    </row>
    <row r="34" spans="2:20" x14ac:dyDescent="0.25">
      <c r="B34" s="38">
        <v>60</v>
      </c>
      <c r="C34" s="113">
        <f t="shared" si="12"/>
        <v>0.7</v>
      </c>
      <c r="D34" s="29"/>
      <c r="E34" s="38">
        <f t="shared" si="10"/>
        <v>32</v>
      </c>
      <c r="F34" s="44">
        <f t="shared" si="23"/>
        <v>0.53333333333333333</v>
      </c>
      <c r="G34" s="21"/>
      <c r="H34" s="84">
        <f t="shared" si="13"/>
        <v>0.64</v>
      </c>
      <c r="I34" s="85">
        <f t="shared" si="14"/>
        <v>0.37333333333333329</v>
      </c>
      <c r="J34" s="15"/>
      <c r="K34" s="183">
        <f t="shared" si="15"/>
        <v>0.02</v>
      </c>
      <c r="L34" s="185">
        <f t="shared" si="16"/>
        <v>1.1666666666666665E-2</v>
      </c>
      <c r="M34" s="162">
        <f t="shared" si="17"/>
        <v>-0.26666666666666672</v>
      </c>
      <c r="N34" s="165">
        <f t="shared" si="24"/>
        <v>-0.41666666666666674</v>
      </c>
      <c r="T34" s="24"/>
    </row>
    <row r="35" spans="2:20" x14ac:dyDescent="0.25">
      <c r="B35" s="38">
        <v>65</v>
      </c>
      <c r="C35" s="113">
        <f t="shared" si="12"/>
        <v>0.70000000000000007</v>
      </c>
      <c r="D35" s="29"/>
      <c r="E35" s="38">
        <f t="shared" si="10"/>
        <v>33</v>
      </c>
      <c r="F35" s="44">
        <f t="shared" si="23"/>
        <v>0.50769230769230766</v>
      </c>
      <c r="G35" s="21"/>
      <c r="H35" s="84">
        <f t="shared" si="13"/>
        <v>0.66</v>
      </c>
      <c r="I35" s="85">
        <f t="shared" si="14"/>
        <v>0.35538461538461541</v>
      </c>
      <c r="J35" s="15"/>
      <c r="K35" s="183">
        <f t="shared" si="15"/>
        <v>0.02</v>
      </c>
      <c r="L35" s="185">
        <f t="shared" si="16"/>
        <v>1.0769230769230771E-2</v>
      </c>
      <c r="M35" s="162">
        <f t="shared" si="17"/>
        <v>-0.30461538461538462</v>
      </c>
      <c r="N35" s="165">
        <f t="shared" si="24"/>
        <v>-0.46153846153846145</v>
      </c>
      <c r="T35" s="24"/>
    </row>
    <row r="36" spans="2:20" x14ac:dyDescent="0.25">
      <c r="B36" s="38">
        <v>70</v>
      </c>
      <c r="C36" s="113">
        <f t="shared" si="12"/>
        <v>0.70000000000000007</v>
      </c>
      <c r="D36" s="29"/>
      <c r="E36" s="38">
        <f t="shared" si="10"/>
        <v>34</v>
      </c>
      <c r="F36" s="44">
        <f t="shared" si="23"/>
        <v>0.48571428571428571</v>
      </c>
      <c r="G36" s="21"/>
      <c r="H36" s="84">
        <f t="shared" si="13"/>
        <v>0.68</v>
      </c>
      <c r="I36" s="85">
        <f t="shared" si="14"/>
        <v>0.34</v>
      </c>
      <c r="J36" s="15"/>
      <c r="K36" s="183">
        <f t="shared" si="15"/>
        <v>0.02</v>
      </c>
      <c r="L36" s="185">
        <f t="shared" si="16"/>
        <v>0.01</v>
      </c>
      <c r="M36" s="162">
        <f t="shared" si="17"/>
        <v>-0.34</v>
      </c>
      <c r="N36" s="165">
        <f t="shared" si="24"/>
        <v>-0.5</v>
      </c>
      <c r="T36" s="24"/>
    </row>
    <row r="37" spans="2:20" ht="14.4" thickBot="1" x14ac:dyDescent="0.3">
      <c r="B37" s="40"/>
      <c r="C37" s="114"/>
      <c r="D37" s="56"/>
      <c r="E37" s="40"/>
      <c r="F37" s="48"/>
      <c r="G37" s="21"/>
      <c r="H37" s="90"/>
      <c r="I37" s="91"/>
      <c r="J37" s="15"/>
      <c r="K37" s="161" t="s">
        <v>52</v>
      </c>
      <c r="L37" s="187"/>
      <c r="M37" s="129"/>
      <c r="N37" s="167"/>
      <c r="T37" s="24"/>
    </row>
    <row r="38" spans="2:20" x14ac:dyDescent="0.25">
      <c r="B38" s="7"/>
      <c r="C38" s="27"/>
      <c r="D38" s="29"/>
      <c r="N38" s="1"/>
    </row>
    <row r="40" spans="2:20" x14ac:dyDescent="0.25">
      <c r="H40" s="21" t="s">
        <v>52</v>
      </c>
      <c r="I40" s="15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23BB-869D-413E-9A98-D6E6F07F68F3}">
  <dimension ref="B2:AK66"/>
  <sheetViews>
    <sheetView rightToLeft="1" workbookViewId="0">
      <selection activeCell="E15" sqref="E15"/>
    </sheetView>
  </sheetViews>
  <sheetFormatPr defaultRowHeight="13.85" x14ac:dyDescent="0.25"/>
  <cols>
    <col min="1" max="1" width="7.54296875" customWidth="1"/>
    <col min="2" max="2" width="9.6328125" customWidth="1"/>
    <col min="3" max="3" width="7.6328125" customWidth="1"/>
    <col min="4" max="4" width="1.36328125" customWidth="1"/>
    <col min="5" max="5" width="8.36328125" style="7" customWidth="1"/>
    <col min="6" max="6" width="9.453125" customWidth="1"/>
    <col min="7" max="7" width="1.26953125" customWidth="1"/>
    <col min="8" max="8" width="9.81640625" customWidth="1"/>
    <col min="9" max="9" width="10.36328125" customWidth="1"/>
    <col min="10" max="10" width="1.26953125" customWidth="1"/>
    <col min="11" max="11" width="9" customWidth="1"/>
    <col min="12" max="12" width="10.453125" customWidth="1"/>
    <col min="13" max="13" width="8.81640625" customWidth="1"/>
    <col min="14" max="14" width="10.1796875" customWidth="1"/>
    <col min="18" max="18" width="20" bestFit="1" customWidth="1"/>
    <col min="20" max="22" width="7.453125" customWidth="1"/>
    <col min="24" max="28" width="8.81640625" customWidth="1"/>
    <col min="29" max="29" width="9.81640625" customWidth="1"/>
    <col min="30" max="30" width="9" customWidth="1"/>
    <col min="31" max="31" width="7.90625" customWidth="1"/>
    <col min="32" max="32" width="8.6328125" customWidth="1"/>
    <col min="36" max="36" width="9.6328125" bestFit="1" customWidth="1"/>
  </cols>
  <sheetData>
    <row r="2" spans="2:37" ht="18.45" thickBot="1" x14ac:dyDescent="0.4">
      <c r="B2" s="36" t="s">
        <v>40</v>
      </c>
      <c r="H2" s="36" t="s">
        <v>51</v>
      </c>
    </row>
    <row r="3" spans="2:37" ht="18.45" thickBot="1" x14ac:dyDescent="0.4">
      <c r="B3" s="68" t="s">
        <v>38</v>
      </c>
      <c r="C3" s="74"/>
      <c r="D3" s="73"/>
      <c r="E3" s="66" t="s">
        <v>41</v>
      </c>
      <c r="F3" s="67"/>
      <c r="H3" s="68" t="s">
        <v>36</v>
      </c>
      <c r="I3" s="76" t="s">
        <v>46</v>
      </c>
      <c r="J3" s="36"/>
      <c r="K3" s="206" t="s">
        <v>69</v>
      </c>
      <c r="L3" s="154"/>
      <c r="M3" s="74" t="s">
        <v>37</v>
      </c>
      <c r="N3" s="69"/>
      <c r="S3" t="s">
        <v>75</v>
      </c>
      <c r="T3" s="36"/>
    </row>
    <row r="4" spans="2:37" ht="14.4" thickBot="1" x14ac:dyDescent="0.3">
      <c r="B4" s="139">
        <v>1</v>
      </c>
      <c r="C4" s="140">
        <v>2</v>
      </c>
      <c r="D4" s="60"/>
      <c r="E4" s="141">
        <v>3</v>
      </c>
      <c r="F4" s="142">
        <v>4</v>
      </c>
      <c r="G4" s="8"/>
      <c r="H4" s="143">
        <v>5</v>
      </c>
      <c r="I4" s="51">
        <v>6</v>
      </c>
      <c r="J4" s="8"/>
      <c r="K4" s="207" t="s">
        <v>70</v>
      </c>
      <c r="L4" s="144">
        <v>8</v>
      </c>
      <c r="M4" s="143">
        <v>9</v>
      </c>
      <c r="N4" s="144">
        <v>10</v>
      </c>
      <c r="R4" t="s">
        <v>52</v>
      </c>
      <c r="U4" s="8"/>
    </row>
    <row r="5" spans="2:37" x14ac:dyDescent="0.25">
      <c r="B5" s="146" t="s">
        <v>5</v>
      </c>
      <c r="C5" s="199" t="s">
        <v>3</v>
      </c>
      <c r="D5" s="152"/>
      <c r="E5" s="62" t="s">
        <v>14</v>
      </c>
      <c r="F5" s="57" t="s">
        <v>26</v>
      </c>
      <c r="G5" s="145"/>
      <c r="H5" s="62" t="s">
        <v>74</v>
      </c>
      <c r="I5" s="192" t="s">
        <v>7</v>
      </c>
      <c r="J5" s="92"/>
      <c r="K5" s="130"/>
      <c r="L5" s="195" t="s">
        <v>71</v>
      </c>
      <c r="M5" s="97" t="s">
        <v>50</v>
      </c>
      <c r="N5" s="190" t="s">
        <v>61</v>
      </c>
      <c r="T5" t="s">
        <v>17</v>
      </c>
      <c r="U5" t="s">
        <v>17</v>
      </c>
      <c r="X5" t="s">
        <v>16</v>
      </c>
      <c r="Y5" s="5" t="s">
        <v>11</v>
      </c>
      <c r="Z5" t="s">
        <v>5</v>
      </c>
      <c r="AB5" s="1" t="s">
        <v>12</v>
      </c>
      <c r="AC5" t="s">
        <v>6</v>
      </c>
      <c r="AD5" t="s">
        <v>9</v>
      </c>
      <c r="AE5" t="s">
        <v>3</v>
      </c>
      <c r="AF5" s="3" t="s">
        <v>4</v>
      </c>
      <c r="AH5" t="s">
        <v>3</v>
      </c>
      <c r="AI5" t="s">
        <v>2</v>
      </c>
      <c r="AJ5" t="s">
        <v>1</v>
      </c>
      <c r="AK5" t="s">
        <v>5</v>
      </c>
    </row>
    <row r="6" spans="2:37" x14ac:dyDescent="0.25">
      <c r="B6" s="147" t="s">
        <v>30</v>
      </c>
      <c r="C6" s="151" t="s">
        <v>39</v>
      </c>
      <c r="D6" s="34"/>
      <c r="E6" s="63" t="s">
        <v>25</v>
      </c>
      <c r="F6" s="41" t="s">
        <v>47</v>
      </c>
      <c r="G6" s="5"/>
      <c r="H6" s="193" t="s">
        <v>68</v>
      </c>
      <c r="I6" s="158" t="s">
        <v>63</v>
      </c>
      <c r="J6" s="31"/>
      <c r="K6" s="208" t="s">
        <v>62</v>
      </c>
      <c r="L6" s="203"/>
      <c r="M6" s="54" t="s">
        <v>19</v>
      </c>
      <c r="N6" s="94" t="s">
        <v>59</v>
      </c>
      <c r="R6" s="1">
        <f>I15</f>
        <v>0.40660000000000002</v>
      </c>
      <c r="T6" s="10" t="s">
        <v>18</v>
      </c>
      <c r="U6" s="1" t="s">
        <v>22</v>
      </c>
      <c r="X6" s="9">
        <v>10000</v>
      </c>
      <c r="Y6" s="9" t="s">
        <v>15</v>
      </c>
      <c r="Z6" s="8" t="s">
        <v>10</v>
      </c>
      <c r="AB6" s="11" t="s">
        <v>13</v>
      </c>
      <c r="AC6" s="11" t="s">
        <v>8</v>
      </c>
      <c r="AK6" s="1">
        <v>0.02</v>
      </c>
    </row>
    <row r="7" spans="2:37" x14ac:dyDescent="0.25">
      <c r="B7" s="189">
        <v>20.329999999999998</v>
      </c>
      <c r="C7" s="151">
        <v>0.02</v>
      </c>
      <c r="D7" s="34"/>
      <c r="E7" s="77">
        <v>34000</v>
      </c>
      <c r="F7" s="42" t="s">
        <v>15</v>
      </c>
      <c r="G7" s="9"/>
      <c r="H7" s="194">
        <v>0.02</v>
      </c>
      <c r="I7" s="155" t="s">
        <v>28</v>
      </c>
      <c r="J7" s="8"/>
      <c r="K7" s="209" t="s">
        <v>72</v>
      </c>
      <c r="L7" s="95" t="s">
        <v>28</v>
      </c>
      <c r="M7" s="98" t="s">
        <v>35</v>
      </c>
      <c r="N7" s="37" t="s">
        <v>34</v>
      </c>
      <c r="R7" s="202">
        <f>F15</f>
        <v>0.58085714285714285</v>
      </c>
      <c r="T7" s="10"/>
      <c r="U7" s="10" t="s">
        <v>27</v>
      </c>
      <c r="X7" s="9"/>
      <c r="Y7" s="9"/>
      <c r="Z7" s="8"/>
      <c r="AB7" s="11"/>
      <c r="AC7" s="11"/>
      <c r="AK7" s="1"/>
    </row>
    <row r="8" spans="2:37" x14ac:dyDescent="0.25">
      <c r="B8" s="108" t="s">
        <v>60</v>
      </c>
      <c r="C8" s="153" t="s">
        <v>31</v>
      </c>
      <c r="D8" s="55"/>
      <c r="E8" s="64"/>
      <c r="F8" s="43" t="s">
        <v>48</v>
      </c>
      <c r="G8" s="75"/>
      <c r="H8" s="98" t="s">
        <v>52</v>
      </c>
      <c r="I8" s="43" t="s">
        <v>49</v>
      </c>
      <c r="J8" s="26"/>
      <c r="K8" s="216" t="s">
        <v>73</v>
      </c>
      <c r="L8" s="82" t="s">
        <v>64</v>
      </c>
      <c r="M8" s="82" t="s">
        <v>44</v>
      </c>
      <c r="N8" s="43" t="s">
        <v>58</v>
      </c>
      <c r="R8">
        <f>+R6*R7</f>
        <v>0.23617651428571429</v>
      </c>
      <c r="T8" s="19" t="s">
        <v>21</v>
      </c>
      <c r="U8" s="10"/>
      <c r="X8" s="33">
        <v>20.329999999999998</v>
      </c>
      <c r="Y8" s="9"/>
      <c r="Z8" s="8"/>
      <c r="AB8" s="11"/>
      <c r="AC8" s="11"/>
      <c r="AK8" s="1"/>
    </row>
    <row r="9" spans="2:37" x14ac:dyDescent="0.25">
      <c r="B9" s="214">
        <f>$B$7+E9</f>
        <v>25.33</v>
      </c>
      <c r="C9" s="110">
        <f>B9*$C$7</f>
        <v>0.50659999999999994</v>
      </c>
      <c r="D9" s="55"/>
      <c r="E9" s="213">
        <v>5</v>
      </c>
      <c r="F9" s="44">
        <f t="shared" ref="F9:F36" si="0">$B$7/B9</f>
        <v>0.80260560600078956</v>
      </c>
      <c r="G9" s="21"/>
      <c r="H9" s="219">
        <f>IF(B9&gt;$B$15,($B$7-(B9-35))*$C$7,$B$7*$C$7)</f>
        <v>0.40659999999999996</v>
      </c>
      <c r="I9" s="220">
        <f t="shared" ref="I9:I36" si="1">F9*C9</f>
        <v>0.40659999999999996</v>
      </c>
      <c r="J9" s="15"/>
      <c r="K9" s="124">
        <f t="shared" ref="K9:K12" si="2">IF(B9&lt;$B$15,H9/$B$7,B9-(B9-$B$15))</f>
        <v>0.02</v>
      </c>
      <c r="L9" s="124">
        <f>IF(B9&lt;$B$15,I9/$B$7,I9/($B$7*F9))</f>
        <v>0.02</v>
      </c>
      <c r="M9" s="99">
        <f t="shared" ref="M9:M16" si="3">H9-I9</f>
        <v>0</v>
      </c>
      <c r="N9" s="107">
        <f>((L9/$C$7)-1)*-1</f>
        <v>0</v>
      </c>
      <c r="T9" s="19"/>
      <c r="U9" s="10"/>
      <c r="X9" s="33"/>
      <c r="Y9" s="9"/>
      <c r="Z9" s="8"/>
      <c r="AB9" s="11"/>
      <c r="AC9" s="11"/>
      <c r="AK9" s="1"/>
    </row>
    <row r="10" spans="2:37" x14ac:dyDescent="0.25">
      <c r="B10" s="214">
        <f>$B$7+E10</f>
        <v>30.33</v>
      </c>
      <c r="C10" s="110">
        <f>B10*$C$7</f>
        <v>0.60660000000000003</v>
      </c>
      <c r="D10" s="15"/>
      <c r="E10" s="213">
        <v>10</v>
      </c>
      <c r="F10" s="44">
        <f t="shared" si="0"/>
        <v>0.67029343883943293</v>
      </c>
      <c r="G10" s="21"/>
      <c r="H10" s="219">
        <f t="shared" ref="H9:H24" si="4">IF(B10&gt;$B$15,($B$7-(B10-35))*$C$7,$B$7*$C$7)</f>
        <v>0.40659999999999996</v>
      </c>
      <c r="I10" s="220">
        <f t="shared" si="1"/>
        <v>0.40660000000000002</v>
      </c>
      <c r="J10" s="15"/>
      <c r="K10" s="124">
        <f t="shared" si="2"/>
        <v>0.02</v>
      </c>
      <c r="L10" s="124">
        <f t="shared" ref="L9:L14" si="5">IF(B10&lt;$B$15,I10/$B$7,I10/($B$7*F10))</f>
        <v>2.0000000000000004E-2</v>
      </c>
      <c r="M10" s="99">
        <f t="shared" si="3"/>
        <v>0</v>
      </c>
      <c r="N10" s="107">
        <f>((L10/$C$7)-1)*-1</f>
        <v>-2.2204460492503131E-16</v>
      </c>
      <c r="T10" s="16">
        <f t="shared" ref="T10:T36" si="6">I10/C10</f>
        <v>0.67029343883943293</v>
      </c>
      <c r="U10" s="22"/>
      <c r="X10">
        <v>20.329999999999998</v>
      </c>
      <c r="Y10" s="4">
        <f>X10/B10</f>
        <v>0.67029343883943293</v>
      </c>
      <c r="Z10" s="7">
        <f>AD10+AB10</f>
        <v>0</v>
      </c>
      <c r="AB10" s="4"/>
      <c r="AC10" s="2">
        <f xml:space="preserve"> $E$7*I10</f>
        <v>13824.400000000001</v>
      </c>
      <c r="AE10" s="5">
        <f>E7*I10</f>
        <v>13824.400000000001</v>
      </c>
      <c r="AH10" s="5">
        <f>X6*AI10</f>
        <v>4065.9999999999995</v>
      </c>
      <c r="AI10" s="4">
        <f>X10*$AK$6</f>
        <v>0.40659999999999996</v>
      </c>
      <c r="AK10">
        <v>30</v>
      </c>
    </row>
    <row r="11" spans="2:37" x14ac:dyDescent="0.25">
      <c r="B11" s="214">
        <f t="shared" ref="B11:B36" si="7">$B$7+E11</f>
        <v>31.33</v>
      </c>
      <c r="C11" s="110">
        <f t="shared" ref="C11:C14" si="8">B11*$C$7</f>
        <v>0.62659999999999993</v>
      </c>
      <c r="D11" s="15"/>
      <c r="E11" s="58">
        <f>E10+1</f>
        <v>11</v>
      </c>
      <c r="F11" s="44">
        <f t="shared" si="0"/>
        <v>0.64889881902330038</v>
      </c>
      <c r="G11" s="21"/>
      <c r="H11" s="219">
        <f t="shared" si="4"/>
        <v>0.40659999999999996</v>
      </c>
      <c r="I11" s="220">
        <f t="shared" si="1"/>
        <v>0.40659999999999996</v>
      </c>
      <c r="J11" s="15"/>
      <c r="K11" s="124">
        <f t="shared" si="2"/>
        <v>0.02</v>
      </c>
      <c r="L11" s="124">
        <f t="shared" si="5"/>
        <v>0.02</v>
      </c>
      <c r="M11" s="105">
        <f t="shared" si="3"/>
        <v>0</v>
      </c>
      <c r="N11" s="107">
        <f t="shared" ref="N11:N15" si="9">((L11/$C$7)-1)*-1</f>
        <v>0</v>
      </c>
      <c r="T11" s="16">
        <f t="shared" si="6"/>
        <v>0.64889881902330038</v>
      </c>
      <c r="U11" s="22"/>
      <c r="X11">
        <f t="shared" ref="X11:X32" si="10">+$X$10</f>
        <v>20.329999999999998</v>
      </c>
      <c r="Y11" s="4">
        <f>X11/B11</f>
        <v>0.64889881902330038</v>
      </c>
      <c r="Z11" s="7">
        <f>AD11+AB11</f>
        <v>0</v>
      </c>
      <c r="AB11" s="4">
        <f>I11-I10</f>
        <v>0</v>
      </c>
      <c r="AC11" s="2">
        <f xml:space="preserve"> $E$7*I11</f>
        <v>13824.399999999998</v>
      </c>
      <c r="AF11" s="4">
        <f>E11*$AK$6</f>
        <v>0.22</v>
      </c>
      <c r="AH11" s="5">
        <f t="shared" ref="AH11:AH13" si="11">AI10*AI11</f>
        <v>0.16532355999999998</v>
      </c>
      <c r="AI11" s="4">
        <f>X11*$AK$6</f>
        <v>0.40659999999999996</v>
      </c>
      <c r="AK11">
        <v>31</v>
      </c>
    </row>
    <row r="12" spans="2:37" x14ac:dyDescent="0.25">
      <c r="B12" s="214">
        <f t="shared" si="7"/>
        <v>32.33</v>
      </c>
      <c r="C12" s="110">
        <f t="shared" si="8"/>
        <v>0.64659999999999995</v>
      </c>
      <c r="D12" s="15"/>
      <c r="E12" s="58">
        <f t="shared" ref="E12:E36" si="12">E11+1</f>
        <v>12</v>
      </c>
      <c r="F12" s="44">
        <f t="shared" si="0"/>
        <v>0.62882771419733996</v>
      </c>
      <c r="G12" s="21"/>
      <c r="H12" s="219">
        <f t="shared" si="4"/>
        <v>0.40659999999999996</v>
      </c>
      <c r="I12" s="220">
        <f t="shared" si="1"/>
        <v>0.40659999999999996</v>
      </c>
      <c r="J12" s="15"/>
      <c r="K12" s="124">
        <f t="shared" si="2"/>
        <v>0.02</v>
      </c>
      <c r="L12" s="124">
        <f t="shared" si="5"/>
        <v>0.02</v>
      </c>
      <c r="M12" s="99">
        <f t="shared" si="3"/>
        <v>0</v>
      </c>
      <c r="N12" s="107">
        <f t="shared" si="9"/>
        <v>0</v>
      </c>
      <c r="T12" s="16">
        <f t="shared" si="6"/>
        <v>0.62882771419733996</v>
      </c>
      <c r="U12" s="22"/>
      <c r="X12">
        <f t="shared" si="10"/>
        <v>20.329999999999998</v>
      </c>
      <c r="Y12" s="4">
        <f>X12/B12</f>
        <v>0.62882771419733996</v>
      </c>
      <c r="Z12" s="7">
        <f>AD12+AB12</f>
        <v>0</v>
      </c>
      <c r="AB12" s="4">
        <f>I12-I11</f>
        <v>0</v>
      </c>
      <c r="AC12" s="2">
        <f xml:space="preserve"> $E$7*I12</f>
        <v>13824.399999999998</v>
      </c>
      <c r="AF12" s="4">
        <f>E12*$AK$6</f>
        <v>0.24</v>
      </c>
      <c r="AH12" s="5">
        <f t="shared" si="11"/>
        <v>0.16532355999999998</v>
      </c>
      <c r="AI12" s="4">
        <f>X12*$AK$6</f>
        <v>0.40659999999999996</v>
      </c>
      <c r="AK12">
        <v>35</v>
      </c>
    </row>
    <row r="13" spans="2:37" x14ac:dyDescent="0.25">
      <c r="B13" s="214">
        <f t="shared" si="7"/>
        <v>33.33</v>
      </c>
      <c r="C13" s="110">
        <f t="shared" si="8"/>
        <v>0.66659999999999997</v>
      </c>
      <c r="D13" s="15"/>
      <c r="E13" s="58">
        <f t="shared" si="12"/>
        <v>13</v>
      </c>
      <c r="F13" s="44">
        <f t="shared" si="0"/>
        <v>0.60996099609960996</v>
      </c>
      <c r="G13" s="21"/>
      <c r="H13" s="219">
        <f t="shared" si="4"/>
        <v>0.40659999999999996</v>
      </c>
      <c r="I13" s="220">
        <f t="shared" si="1"/>
        <v>0.40659999999999996</v>
      </c>
      <c r="J13" s="15"/>
      <c r="K13" s="124">
        <f>IF(B13&lt;$B$15,H13/$B$7,B13-(B13-$B$15))</f>
        <v>0.02</v>
      </c>
      <c r="L13" s="124">
        <f t="shared" si="5"/>
        <v>0.02</v>
      </c>
      <c r="M13" s="99">
        <f t="shared" si="3"/>
        <v>0</v>
      </c>
      <c r="N13" s="107">
        <f t="shared" si="9"/>
        <v>0</v>
      </c>
      <c r="T13" s="17">
        <f t="shared" si="6"/>
        <v>0.60996099609960996</v>
      </c>
      <c r="U13" s="23"/>
      <c r="V13">
        <v>2</v>
      </c>
      <c r="X13">
        <f t="shared" si="10"/>
        <v>20.329999999999998</v>
      </c>
      <c r="Y13" s="4">
        <f>X13/B13</f>
        <v>0.60996099609960996</v>
      </c>
      <c r="Z13" s="7">
        <f>AD13+AB13</f>
        <v>0</v>
      </c>
      <c r="AB13" s="4">
        <f>I13-I12</f>
        <v>0</v>
      </c>
      <c r="AC13" s="2">
        <f xml:space="preserve"> $E$7*I13</f>
        <v>13824.399999999998</v>
      </c>
      <c r="AF13" s="4">
        <f>E13*$AK$6</f>
        <v>0.26</v>
      </c>
      <c r="AH13" s="5">
        <f t="shared" si="11"/>
        <v>0.16532355999999998</v>
      </c>
      <c r="AI13" s="4">
        <f>X13*$AK$6</f>
        <v>0.40659999999999996</v>
      </c>
      <c r="AK13">
        <v>36</v>
      </c>
    </row>
    <row r="14" spans="2:37" ht="14.4" thickBot="1" x14ac:dyDescent="0.3">
      <c r="B14" s="214">
        <f t="shared" si="7"/>
        <v>34.33</v>
      </c>
      <c r="C14" s="110">
        <f t="shared" si="8"/>
        <v>0.68659999999999999</v>
      </c>
      <c r="D14" s="15"/>
      <c r="E14" s="58">
        <f t="shared" si="12"/>
        <v>14</v>
      </c>
      <c r="F14" s="44">
        <f t="shared" si="0"/>
        <v>0.59219341683658611</v>
      </c>
      <c r="G14" s="21"/>
      <c r="H14" s="219">
        <f t="shared" si="4"/>
        <v>0.40659999999999996</v>
      </c>
      <c r="I14" s="220">
        <f t="shared" si="1"/>
        <v>0.40660000000000002</v>
      </c>
      <c r="J14" s="15"/>
      <c r="K14" s="124">
        <f>IF(B14&lt;$B$15,H14/$B$7,B14-(B14-$B$15))</f>
        <v>0.02</v>
      </c>
      <c r="L14" s="124">
        <f t="shared" si="5"/>
        <v>2.0000000000000004E-2</v>
      </c>
      <c r="M14" s="99">
        <f t="shared" si="3"/>
        <v>0</v>
      </c>
      <c r="N14" s="107">
        <f t="shared" si="9"/>
        <v>-2.2204460492503131E-16</v>
      </c>
      <c r="T14" s="16">
        <f t="shared" si="6"/>
        <v>0.59219341683658611</v>
      </c>
      <c r="U14" s="22"/>
      <c r="V14" s="71">
        <v>0.44040000000000001</v>
      </c>
      <c r="X14">
        <f t="shared" si="10"/>
        <v>20.329999999999998</v>
      </c>
      <c r="Y14" s="4">
        <f>X14/B14</f>
        <v>0.59219341683658611</v>
      </c>
      <c r="Z14" s="7">
        <f>AD14+AB14</f>
        <v>0</v>
      </c>
      <c r="AB14" s="4">
        <f>I14-I13</f>
        <v>0</v>
      </c>
      <c r="AC14" s="2">
        <f xml:space="preserve"> $E$7*I14</f>
        <v>13824.400000000001</v>
      </c>
      <c r="AF14" s="4">
        <f>E14*$AK$6</f>
        <v>0.28000000000000003</v>
      </c>
      <c r="AI14" s="4">
        <f>X14*$AK$6</f>
        <v>0.40659999999999996</v>
      </c>
      <c r="AK14">
        <v>38</v>
      </c>
    </row>
    <row r="15" spans="2:37" ht="14.4" thickBot="1" x14ac:dyDescent="0.3">
      <c r="B15" s="215">
        <f t="shared" si="7"/>
        <v>35</v>
      </c>
      <c r="C15" s="135">
        <f>B15*$H$7</f>
        <v>0.70000000000000007</v>
      </c>
      <c r="D15" s="32"/>
      <c r="E15" s="138">
        <f>E14+0.67</f>
        <v>14.67</v>
      </c>
      <c r="F15" s="137">
        <f t="shared" si="0"/>
        <v>0.58085714285714285</v>
      </c>
      <c r="G15" s="49"/>
      <c r="H15" s="221">
        <f t="shared" si="4"/>
        <v>0.40659999999999996</v>
      </c>
      <c r="I15" s="222">
        <f t="shared" si="1"/>
        <v>0.40660000000000002</v>
      </c>
      <c r="J15" s="93"/>
      <c r="K15" s="210">
        <f>IF(B15&lt;$B$15,H15/$B$7,H15/($B$7-(B15-$B$15)))</f>
        <v>0.02</v>
      </c>
      <c r="L15" s="223">
        <f>IF(C15&lt;$B$15,I15/$B$7,I15/($B$7-(B15-B14)*C6))</f>
        <v>2.0000000000000004E-2</v>
      </c>
      <c r="M15" s="200">
        <f t="shared" si="3"/>
        <v>0</v>
      </c>
      <c r="N15" s="201">
        <f t="shared" si="9"/>
        <v>-2.2204460492503131E-16</v>
      </c>
      <c r="R15" s="1"/>
      <c r="T15" s="28">
        <f t="shared" si="6"/>
        <v>0.58085714285714285</v>
      </c>
      <c r="U15" s="22"/>
      <c r="V15" s="71"/>
      <c r="X15">
        <f t="shared" si="10"/>
        <v>20.329999999999998</v>
      </c>
      <c r="Y15" s="4"/>
      <c r="Z15" s="7"/>
      <c r="AB15" s="4"/>
      <c r="AC15" s="2"/>
      <c r="AF15" s="4"/>
      <c r="AI15" s="4"/>
    </row>
    <row r="16" spans="2:37" x14ac:dyDescent="0.25">
      <c r="B16" s="214">
        <f t="shared" si="7"/>
        <v>35.33</v>
      </c>
      <c r="C16" s="113">
        <f t="shared" ref="C16:C36" si="13">(B16*$H$7)-((B16-$B$15)*2%)</f>
        <v>0.70000000000000007</v>
      </c>
      <c r="D16" s="29"/>
      <c r="E16" s="35">
        <f>E14+1</f>
        <v>15</v>
      </c>
      <c r="F16" s="46">
        <f t="shared" si="0"/>
        <v>0.57543164449476358</v>
      </c>
      <c r="G16" s="70"/>
      <c r="H16" s="84">
        <f t="shared" si="4"/>
        <v>0.4</v>
      </c>
      <c r="I16" s="85">
        <f t="shared" si="1"/>
        <v>0.40280215114633455</v>
      </c>
      <c r="J16" s="25"/>
      <c r="K16" s="124">
        <f>IF(B16&lt;$B$15,H16/$B$7,I16/($B$7-(B16-$B$15)))</f>
        <v>2.0140107557316728E-2</v>
      </c>
      <c r="L16" s="217">
        <f>IF(C16&lt;$B$15,I16/$B$7,I16/($B$7-(B16-B15)*C7))</f>
        <v>1.9813189923577699E-2</v>
      </c>
      <c r="M16" s="100">
        <f t="shared" si="3"/>
        <v>-2.8021511463345306E-3</v>
      </c>
      <c r="N16" s="101">
        <f>((L16/$C$7)-1)</f>
        <v>-9.3405038211150648E-3</v>
      </c>
      <c r="R16" s="202"/>
      <c r="T16" s="18">
        <f t="shared" si="6"/>
        <v>0.57543164449476358</v>
      </c>
      <c r="U16" s="30"/>
      <c r="X16" s="6">
        <f t="shared" si="10"/>
        <v>20.329999999999998</v>
      </c>
      <c r="Y16" s="4">
        <f t="shared" ref="Y16:Y23" si="14">X16/B16</f>
        <v>0.57543164449476358</v>
      </c>
      <c r="Z16" s="12">
        <f t="shared" ref="Z16:Z23" si="15">AD16+AB16</f>
        <v>-3.7978488536654642E-3</v>
      </c>
      <c r="AB16" s="13">
        <f>I16-I14</f>
        <v>-3.7978488536654642E-3</v>
      </c>
      <c r="AC16" s="14">
        <f t="shared" ref="AC16:AC23" si="16" xml:space="preserve"> $E$7*I16</f>
        <v>13695.273138975375</v>
      </c>
      <c r="AF16" s="4">
        <f t="shared" ref="AF16:AF23" si="17">E16*$AK$6</f>
        <v>0.3</v>
      </c>
      <c r="AI16" s="4">
        <f>X16*$AK$6</f>
        <v>0.40659999999999996</v>
      </c>
      <c r="AK16">
        <v>40</v>
      </c>
    </row>
    <row r="17" spans="2:37" x14ac:dyDescent="0.25">
      <c r="B17" s="214">
        <f t="shared" si="7"/>
        <v>36.33</v>
      </c>
      <c r="C17" s="113">
        <f t="shared" si="13"/>
        <v>0.70000000000000007</v>
      </c>
      <c r="D17" s="29"/>
      <c r="E17" s="58">
        <f>E16+1</f>
        <v>16</v>
      </c>
      <c r="F17" s="44">
        <f t="shared" si="0"/>
        <v>0.55959262317643821</v>
      </c>
      <c r="G17" s="20"/>
      <c r="H17" s="84">
        <f t="shared" si="4"/>
        <v>0.38</v>
      </c>
      <c r="I17" s="85">
        <f t="shared" si="1"/>
        <v>0.39171483622350678</v>
      </c>
      <c r="J17" s="25"/>
      <c r="K17" s="124">
        <f>IF(B17&lt;$B$15,H17/$B$7,H17/($B$7-(B17-$B$15)))</f>
        <v>0.02</v>
      </c>
      <c r="L17" s="217">
        <f t="shared" ref="L17:L36" si="18">IF(C17&lt;$B$15,I17/$B$7,I17/($B$7*F17))</f>
        <v>1.926782273603083E-2</v>
      </c>
      <c r="M17" s="100">
        <f t="shared" ref="M17:M36" si="19">H17-I17</f>
        <v>-1.1714836223506775E-2</v>
      </c>
      <c r="N17" s="101">
        <f t="shared" ref="N17:N36" si="20">((L17/$C$7)-1)</f>
        <v>-3.6608863198458463E-2</v>
      </c>
      <c r="R17" s="71"/>
      <c r="T17" s="18">
        <f t="shared" si="6"/>
        <v>0.55959262317643821</v>
      </c>
      <c r="U17" s="24"/>
      <c r="X17">
        <f t="shared" si="10"/>
        <v>20.329999999999998</v>
      </c>
      <c r="Y17" s="4">
        <f t="shared" si="14"/>
        <v>0.55959262317643821</v>
      </c>
      <c r="Z17" s="7">
        <f t="shared" si="15"/>
        <v>0</v>
      </c>
      <c r="AB17" s="4"/>
      <c r="AC17" s="2">
        <f t="shared" si="16"/>
        <v>13318.30443159923</v>
      </c>
      <c r="AF17" s="4">
        <f t="shared" si="17"/>
        <v>0.32</v>
      </c>
      <c r="AI17" s="4">
        <f>X17*$AK$6</f>
        <v>0.40659999999999996</v>
      </c>
      <c r="AK17">
        <v>42.33</v>
      </c>
    </row>
    <row r="18" spans="2:37" x14ac:dyDescent="0.25">
      <c r="B18" s="214">
        <f t="shared" si="7"/>
        <v>37.33</v>
      </c>
      <c r="C18" s="113">
        <f t="shared" si="13"/>
        <v>0.7</v>
      </c>
      <c r="D18" s="29"/>
      <c r="E18" s="58">
        <f t="shared" si="12"/>
        <v>17</v>
      </c>
      <c r="F18" s="44">
        <f t="shared" si="0"/>
        <v>0.54460219662469866</v>
      </c>
      <c r="G18" s="20"/>
      <c r="H18" s="84">
        <f t="shared" si="4"/>
        <v>0.36</v>
      </c>
      <c r="I18" s="85">
        <f t="shared" si="1"/>
        <v>0.38122153763728905</v>
      </c>
      <c r="J18" s="15"/>
      <c r="K18" s="124">
        <f t="shared" ref="K18:K36" si="21">IF(B18&lt;$B$15,H18/$B$7,H18/($B$7-(B18-$B$15)))</f>
        <v>0.02</v>
      </c>
      <c r="L18" s="217">
        <f t="shared" si="18"/>
        <v>1.8751674256630057E-2</v>
      </c>
      <c r="M18" s="100">
        <f t="shared" si="19"/>
        <v>-2.1221537637289067E-2</v>
      </c>
      <c r="N18" s="101">
        <f t="shared" si="20"/>
        <v>-6.241628716849712E-2</v>
      </c>
      <c r="T18" s="18">
        <f t="shared" si="6"/>
        <v>0.54460219662469866</v>
      </c>
      <c r="U18" s="24"/>
      <c r="X18">
        <f t="shared" si="10"/>
        <v>20.329999999999998</v>
      </c>
      <c r="Y18" s="4">
        <f t="shared" si="14"/>
        <v>0.54460219662469866</v>
      </c>
      <c r="Z18" s="7">
        <f t="shared" si="15"/>
        <v>0</v>
      </c>
      <c r="AB18" s="4"/>
      <c r="AC18" s="2">
        <f t="shared" si="16"/>
        <v>12961.532279667828</v>
      </c>
      <c r="AF18" s="4">
        <f t="shared" si="17"/>
        <v>0.34</v>
      </c>
    </row>
    <row r="19" spans="2:37" x14ac:dyDescent="0.25">
      <c r="B19" s="214">
        <f t="shared" si="7"/>
        <v>38.33</v>
      </c>
      <c r="C19" s="113">
        <f t="shared" si="13"/>
        <v>0.7</v>
      </c>
      <c r="D19" s="29"/>
      <c r="E19" s="58">
        <f t="shared" si="12"/>
        <v>18</v>
      </c>
      <c r="F19" s="44">
        <f t="shared" si="0"/>
        <v>0.53039394729976519</v>
      </c>
      <c r="G19" s="21"/>
      <c r="H19" s="84">
        <f t="shared" si="4"/>
        <v>0.34</v>
      </c>
      <c r="I19" s="85">
        <f t="shared" si="1"/>
        <v>0.37127576310983562</v>
      </c>
      <c r="J19" s="15"/>
      <c r="K19" s="124">
        <f t="shared" si="21"/>
        <v>0.02</v>
      </c>
      <c r="L19" s="217">
        <f t="shared" si="18"/>
        <v>1.8262457605009132E-2</v>
      </c>
      <c r="M19" s="100">
        <f t="shared" si="19"/>
        <v>-3.1275763109835597E-2</v>
      </c>
      <c r="N19" s="101">
        <f t="shared" si="20"/>
        <v>-8.6877119749543374E-2</v>
      </c>
      <c r="T19" s="18">
        <f t="shared" si="6"/>
        <v>0.53039394729976519</v>
      </c>
      <c r="U19" s="24"/>
      <c r="X19">
        <f t="shared" si="10"/>
        <v>20.329999999999998</v>
      </c>
      <c r="Y19" s="4">
        <f t="shared" si="14"/>
        <v>0.53039394729976519</v>
      </c>
      <c r="Z19" s="7">
        <f t="shared" si="15"/>
        <v>0</v>
      </c>
      <c r="AB19" s="4"/>
      <c r="AC19" s="2">
        <f t="shared" si="16"/>
        <v>12623.375945734411</v>
      </c>
      <c r="AF19" s="4">
        <f t="shared" si="17"/>
        <v>0.36</v>
      </c>
    </row>
    <row r="20" spans="2:37" x14ac:dyDescent="0.25">
      <c r="B20" s="214">
        <f t="shared" si="7"/>
        <v>39.33</v>
      </c>
      <c r="C20" s="113">
        <f t="shared" si="13"/>
        <v>0.7</v>
      </c>
      <c r="D20" s="29"/>
      <c r="E20" s="58">
        <f t="shared" si="12"/>
        <v>19</v>
      </c>
      <c r="F20" s="44">
        <f t="shared" si="0"/>
        <v>0.51690821256038644</v>
      </c>
      <c r="G20" s="21"/>
      <c r="H20" s="84">
        <f t="shared" si="4"/>
        <v>0.32</v>
      </c>
      <c r="I20" s="85">
        <f t="shared" si="1"/>
        <v>0.36183574879227048</v>
      </c>
      <c r="J20" s="15"/>
      <c r="K20" s="124">
        <f t="shared" si="21"/>
        <v>0.02</v>
      </c>
      <c r="L20" s="217">
        <f t="shared" si="18"/>
        <v>1.7798118484617341E-2</v>
      </c>
      <c r="M20" s="100">
        <f t="shared" si="19"/>
        <v>-4.1835748792270477E-2</v>
      </c>
      <c r="N20" s="101">
        <f t="shared" si="20"/>
        <v>-0.11009407576913299</v>
      </c>
      <c r="T20" s="18">
        <f t="shared" si="6"/>
        <v>0.51690821256038644</v>
      </c>
      <c r="U20" s="24"/>
      <c r="X20">
        <f t="shared" si="10"/>
        <v>20.329999999999998</v>
      </c>
      <c r="Y20" s="4">
        <f t="shared" si="14"/>
        <v>0.51690821256038644</v>
      </c>
      <c r="Z20" s="7">
        <f t="shared" si="15"/>
        <v>0</v>
      </c>
      <c r="AB20" s="4"/>
      <c r="AC20" s="2">
        <f t="shared" si="16"/>
        <v>12302.415458937196</v>
      </c>
      <c r="AF20" s="4">
        <f t="shared" si="17"/>
        <v>0.38</v>
      </c>
    </row>
    <row r="21" spans="2:37" x14ac:dyDescent="0.25">
      <c r="B21" s="214">
        <f t="shared" si="7"/>
        <v>40.33</v>
      </c>
      <c r="C21" s="113">
        <f t="shared" si="13"/>
        <v>0.7</v>
      </c>
      <c r="D21" s="29"/>
      <c r="E21" s="58">
        <f t="shared" si="12"/>
        <v>20</v>
      </c>
      <c r="F21" s="44">
        <f t="shared" si="0"/>
        <v>0.50409124721051324</v>
      </c>
      <c r="G21" s="21"/>
      <c r="H21" s="84">
        <f t="shared" si="4"/>
        <v>0.3</v>
      </c>
      <c r="I21" s="85">
        <f t="shared" si="1"/>
        <v>0.35286387304735922</v>
      </c>
      <c r="J21" s="15"/>
      <c r="K21" s="124">
        <f t="shared" si="21"/>
        <v>0.02</v>
      </c>
      <c r="L21" s="217">
        <f t="shared" si="18"/>
        <v>1.7356806347632033E-2</v>
      </c>
      <c r="M21" s="100">
        <f t="shared" si="19"/>
        <v>-5.2863873047359233E-2</v>
      </c>
      <c r="N21" s="101">
        <f t="shared" si="20"/>
        <v>-0.13215968261839839</v>
      </c>
      <c r="T21" s="18">
        <f t="shared" si="6"/>
        <v>0.50409124721051324</v>
      </c>
      <c r="U21" s="24"/>
      <c r="X21">
        <f t="shared" si="10"/>
        <v>20.329999999999998</v>
      </c>
      <c r="Y21" s="4">
        <f t="shared" si="14"/>
        <v>0.50409124721051324</v>
      </c>
      <c r="Z21" s="7">
        <f t="shared" si="15"/>
        <v>0</v>
      </c>
      <c r="AB21" s="4"/>
      <c r="AC21" s="2">
        <f t="shared" si="16"/>
        <v>11997.371683610214</v>
      </c>
      <c r="AF21" s="4">
        <f t="shared" si="17"/>
        <v>0.4</v>
      </c>
    </row>
    <row r="22" spans="2:37" x14ac:dyDescent="0.25">
      <c r="B22" s="214">
        <f t="shared" si="7"/>
        <v>41.33</v>
      </c>
      <c r="C22" s="113">
        <f t="shared" si="13"/>
        <v>0.70000000000000007</v>
      </c>
      <c r="D22" s="29"/>
      <c r="E22" s="58">
        <f t="shared" si="12"/>
        <v>21</v>
      </c>
      <c r="F22" s="44">
        <f t="shared" si="0"/>
        <v>0.49189450762158238</v>
      </c>
      <c r="G22" s="21"/>
      <c r="H22" s="84">
        <f t="shared" si="4"/>
        <v>0.28000000000000003</v>
      </c>
      <c r="I22" s="85">
        <f t="shared" si="1"/>
        <v>0.34432615533510769</v>
      </c>
      <c r="J22" s="15"/>
      <c r="K22" s="124">
        <f t="shared" si="21"/>
        <v>0.02</v>
      </c>
      <c r="L22" s="217">
        <f t="shared" si="18"/>
        <v>1.6936849745947256E-2</v>
      </c>
      <c r="M22" s="100">
        <f t="shared" si="19"/>
        <v>-6.432615533510766E-2</v>
      </c>
      <c r="N22" s="101">
        <f t="shared" si="20"/>
        <v>-0.15315751270263722</v>
      </c>
      <c r="T22" s="18">
        <f t="shared" si="6"/>
        <v>0.49189450762158238</v>
      </c>
      <c r="U22" s="24"/>
      <c r="X22">
        <f t="shared" si="10"/>
        <v>20.329999999999998</v>
      </c>
      <c r="Y22" s="4">
        <f t="shared" si="14"/>
        <v>0.49189450762158238</v>
      </c>
      <c r="Z22" s="7">
        <f t="shared" si="15"/>
        <v>0</v>
      </c>
      <c r="AB22" s="4"/>
      <c r="AC22" s="2">
        <f t="shared" si="16"/>
        <v>11707.089281393661</v>
      </c>
      <c r="AF22" s="4">
        <f t="shared" si="17"/>
        <v>0.42</v>
      </c>
    </row>
    <row r="23" spans="2:37" x14ac:dyDescent="0.25">
      <c r="B23" s="214">
        <f t="shared" si="7"/>
        <v>42.33</v>
      </c>
      <c r="C23" s="113">
        <f t="shared" si="13"/>
        <v>0.70000000000000007</v>
      </c>
      <c r="D23" s="29"/>
      <c r="E23" s="58">
        <f t="shared" si="12"/>
        <v>22</v>
      </c>
      <c r="F23" s="44">
        <f t="shared" si="0"/>
        <v>0.48027403732577367</v>
      </c>
      <c r="G23" s="21"/>
      <c r="H23" s="84">
        <f t="shared" si="4"/>
        <v>0.26</v>
      </c>
      <c r="I23" s="85">
        <f t="shared" si="1"/>
        <v>0.3361918261280416</v>
      </c>
      <c r="J23" s="15"/>
      <c r="K23" s="124">
        <f t="shared" si="21"/>
        <v>0.02</v>
      </c>
      <c r="L23" s="217">
        <f t="shared" si="18"/>
        <v>1.6536735175998112E-2</v>
      </c>
      <c r="M23" s="100">
        <f t="shared" si="19"/>
        <v>-7.6191826128041595E-2</v>
      </c>
      <c r="N23" s="101">
        <f t="shared" si="20"/>
        <v>-0.17316324120009441</v>
      </c>
      <c r="T23" s="18">
        <f t="shared" si="6"/>
        <v>0.48027403732577367</v>
      </c>
      <c r="U23" s="24"/>
      <c r="X23">
        <f t="shared" si="10"/>
        <v>20.329999999999998</v>
      </c>
      <c r="Y23" s="4">
        <f t="shared" si="14"/>
        <v>0.48027403732577367</v>
      </c>
      <c r="Z23" s="7">
        <f t="shared" si="15"/>
        <v>0</v>
      </c>
      <c r="AB23" s="4"/>
      <c r="AC23" s="2">
        <f t="shared" si="16"/>
        <v>11430.522088353415</v>
      </c>
      <c r="AF23" s="4">
        <f t="shared" si="17"/>
        <v>0.44</v>
      </c>
    </row>
    <row r="24" spans="2:37" ht="14.4" thickBot="1" x14ac:dyDescent="0.3">
      <c r="B24" s="214">
        <f t="shared" si="7"/>
        <v>42.67</v>
      </c>
      <c r="C24" s="113">
        <f t="shared" si="13"/>
        <v>0.7</v>
      </c>
      <c r="D24" s="29"/>
      <c r="E24" s="58">
        <f>E23+0.34</f>
        <v>22.34</v>
      </c>
      <c r="F24" s="44">
        <f t="shared" si="0"/>
        <v>0.47644715256620573</v>
      </c>
      <c r="G24" s="20"/>
      <c r="H24" s="84">
        <f t="shared" si="4"/>
        <v>0.25319999999999993</v>
      </c>
      <c r="I24" s="88">
        <f t="shared" si="1"/>
        <v>0.33351300679634399</v>
      </c>
      <c r="J24" s="25"/>
      <c r="K24" s="124">
        <f t="shared" si="21"/>
        <v>0.02</v>
      </c>
      <c r="L24" s="217">
        <f t="shared" si="18"/>
        <v>1.6404968361846729E-2</v>
      </c>
      <c r="M24" s="100">
        <f t="shared" si="19"/>
        <v>-8.0313006796344066E-2</v>
      </c>
      <c r="N24" s="101">
        <f t="shared" si="20"/>
        <v>-0.1797515819076636</v>
      </c>
      <c r="T24" s="18">
        <f t="shared" si="6"/>
        <v>0.47644715256620573</v>
      </c>
      <c r="U24" s="24"/>
      <c r="X24">
        <f t="shared" si="10"/>
        <v>20.329999999999998</v>
      </c>
      <c r="Y24" s="4"/>
      <c r="Z24" s="7"/>
      <c r="AB24" s="4"/>
      <c r="AC24" s="2"/>
      <c r="AF24" s="4"/>
    </row>
    <row r="25" spans="2:37" ht="14.4" thickBot="1" x14ac:dyDescent="0.3">
      <c r="B25" s="214">
        <f t="shared" si="7"/>
        <v>43.33</v>
      </c>
      <c r="C25" s="113">
        <f t="shared" si="13"/>
        <v>0.70000000000000007</v>
      </c>
      <c r="D25" s="29"/>
      <c r="E25" s="58">
        <f>E23+1</f>
        <v>23</v>
      </c>
      <c r="F25" s="44">
        <f t="shared" si="0"/>
        <v>0.46918993768751438</v>
      </c>
      <c r="G25" s="21"/>
      <c r="H25" s="84">
        <f t="shared" ref="H25:H36" si="22">(($C$7*($B$7-($B25-$B$15))))</f>
        <v>0.24</v>
      </c>
      <c r="I25" s="85">
        <f t="shared" si="1"/>
        <v>0.32843295638126008</v>
      </c>
      <c r="J25" s="15"/>
      <c r="K25" s="124">
        <f t="shared" si="21"/>
        <v>0.02</v>
      </c>
      <c r="L25" s="217">
        <f t="shared" si="18"/>
        <v>1.6155088852988692E-2</v>
      </c>
      <c r="M25" s="100">
        <f t="shared" si="19"/>
        <v>-8.8432956381260086E-2</v>
      </c>
      <c r="N25" s="104">
        <f t="shared" si="20"/>
        <v>-0.19224555735056548</v>
      </c>
      <c r="T25" s="18">
        <f t="shared" si="6"/>
        <v>0.46918993768751432</v>
      </c>
      <c r="U25" s="24"/>
      <c r="X25">
        <f t="shared" si="10"/>
        <v>20.329999999999998</v>
      </c>
      <c r="Y25" s="4">
        <f t="shared" ref="Y25:Y32" si="23">X25/B25</f>
        <v>0.46918993768751438</v>
      </c>
      <c r="Z25" s="7">
        <f t="shared" ref="Z25:Z32" si="24">AD25+AB25</f>
        <v>0</v>
      </c>
      <c r="AB25" s="4"/>
      <c r="AC25" s="2">
        <f t="shared" ref="AC25:AC32" si="25" xml:space="preserve"> $E$7*I25</f>
        <v>11166.720516962843</v>
      </c>
      <c r="AF25" s="4">
        <f t="shared" ref="AF25:AF32" si="26">E25*$AK$6</f>
        <v>0.46</v>
      </c>
    </row>
    <row r="26" spans="2:37" x14ac:dyDescent="0.25">
      <c r="B26" s="214">
        <f t="shared" si="7"/>
        <v>44.33</v>
      </c>
      <c r="C26" s="113">
        <f t="shared" si="13"/>
        <v>0.7</v>
      </c>
      <c r="D26" s="29"/>
      <c r="E26" s="58">
        <f t="shared" si="12"/>
        <v>24</v>
      </c>
      <c r="F26" s="44">
        <f t="shared" si="0"/>
        <v>0.45860591021881342</v>
      </c>
      <c r="G26" s="21"/>
      <c r="H26" s="84">
        <f>(($C$7*($B$7-($B26-$B$15))))</f>
        <v>0.22</v>
      </c>
      <c r="I26" s="85">
        <f t="shared" si="1"/>
        <v>0.32102413715316935</v>
      </c>
      <c r="J26" s="15"/>
      <c r="K26" s="124">
        <f t="shared" si="21"/>
        <v>0.02</v>
      </c>
      <c r="L26" s="217">
        <f t="shared" si="18"/>
        <v>1.5790660951951273E-2</v>
      </c>
      <c r="M26" s="100">
        <f t="shared" si="19"/>
        <v>-0.10102413715316935</v>
      </c>
      <c r="N26" s="101">
        <f t="shared" si="20"/>
        <v>-0.2104669524024364</v>
      </c>
      <c r="T26" s="18">
        <f t="shared" si="6"/>
        <v>0.45860591021881342</v>
      </c>
      <c r="U26" s="24"/>
      <c r="X26">
        <f t="shared" si="10"/>
        <v>20.329999999999998</v>
      </c>
      <c r="Y26" s="4">
        <f t="shared" si="23"/>
        <v>0.45860591021881342</v>
      </c>
      <c r="Z26" s="7">
        <f t="shared" si="24"/>
        <v>0</v>
      </c>
      <c r="AB26" s="4"/>
      <c r="AC26" s="2">
        <f t="shared" si="25"/>
        <v>10914.820663207758</v>
      </c>
      <c r="AF26" s="4">
        <f t="shared" si="26"/>
        <v>0.48</v>
      </c>
    </row>
    <row r="27" spans="2:37" x14ac:dyDescent="0.25">
      <c r="B27" s="214">
        <f t="shared" si="7"/>
        <v>45.33</v>
      </c>
      <c r="C27" s="113">
        <f t="shared" si="13"/>
        <v>0.7</v>
      </c>
      <c r="D27" s="29"/>
      <c r="E27" s="58">
        <f t="shared" si="12"/>
        <v>25</v>
      </c>
      <c r="F27" s="44">
        <f t="shared" si="0"/>
        <v>0.44848885947496137</v>
      </c>
      <c r="G27" s="21"/>
      <c r="H27" s="84">
        <f t="shared" si="22"/>
        <v>0.2</v>
      </c>
      <c r="I27" s="85">
        <f t="shared" si="1"/>
        <v>0.31394220163247294</v>
      </c>
      <c r="J27" s="15"/>
      <c r="K27" s="124">
        <f t="shared" si="21"/>
        <v>0.02</v>
      </c>
      <c r="L27" s="217">
        <f t="shared" si="18"/>
        <v>1.5442311934701081E-2</v>
      </c>
      <c r="M27" s="100">
        <f t="shared" si="19"/>
        <v>-0.11394220163247293</v>
      </c>
      <c r="N27" s="101">
        <f t="shared" si="20"/>
        <v>-0.22788440326494597</v>
      </c>
      <c r="T27" s="18">
        <f t="shared" si="6"/>
        <v>0.44848885947496137</v>
      </c>
      <c r="U27" s="24"/>
      <c r="X27">
        <f t="shared" si="10"/>
        <v>20.329999999999998</v>
      </c>
      <c r="Y27" s="4">
        <f t="shared" si="23"/>
        <v>0.44848885947496137</v>
      </c>
      <c r="Z27" s="7">
        <f t="shared" si="24"/>
        <v>0</v>
      </c>
      <c r="AB27" s="4"/>
      <c r="AC27" s="2">
        <f t="shared" si="25"/>
        <v>10674.03485550408</v>
      </c>
      <c r="AF27" s="4">
        <f t="shared" si="26"/>
        <v>0.5</v>
      </c>
    </row>
    <row r="28" spans="2:37" x14ac:dyDescent="0.25">
      <c r="B28" s="214">
        <f t="shared" si="7"/>
        <v>46.33</v>
      </c>
      <c r="C28" s="113">
        <f t="shared" si="13"/>
        <v>0.7</v>
      </c>
      <c r="D28" s="29"/>
      <c r="E28" s="58">
        <f t="shared" si="12"/>
        <v>26</v>
      </c>
      <c r="F28" s="44">
        <f t="shared" si="0"/>
        <v>0.43880854737750913</v>
      </c>
      <c r="G28" s="21"/>
      <c r="H28" s="84">
        <f>(($C$7*($B$7-($B28-$B$15))))</f>
        <v>0.18</v>
      </c>
      <c r="I28" s="85">
        <f t="shared" si="1"/>
        <v>0.30716598316425636</v>
      </c>
      <c r="J28" s="15"/>
      <c r="K28" s="124">
        <f t="shared" si="21"/>
        <v>0.02</v>
      </c>
      <c r="L28" s="217">
        <f t="shared" si="18"/>
        <v>1.5109000647528598E-2</v>
      </c>
      <c r="M28" s="100">
        <f t="shared" si="19"/>
        <v>-0.12716598316425637</v>
      </c>
      <c r="N28" s="101">
        <f t="shared" si="20"/>
        <v>-0.24454996762357017</v>
      </c>
      <c r="T28" s="18">
        <f t="shared" si="6"/>
        <v>0.43880854737750913</v>
      </c>
      <c r="U28" s="24"/>
      <c r="X28">
        <f t="shared" si="10"/>
        <v>20.329999999999998</v>
      </c>
      <c r="Y28" s="4">
        <f t="shared" si="23"/>
        <v>0.43880854737750913</v>
      </c>
      <c r="Z28" s="7">
        <f t="shared" si="24"/>
        <v>0</v>
      </c>
      <c r="AB28" s="4"/>
      <c r="AC28" s="2">
        <f t="shared" si="25"/>
        <v>10443.643427584717</v>
      </c>
      <c r="AF28" s="4">
        <f t="shared" si="26"/>
        <v>0.52</v>
      </c>
    </row>
    <row r="29" spans="2:37" x14ac:dyDescent="0.25">
      <c r="B29" s="214">
        <f t="shared" si="7"/>
        <v>47.33</v>
      </c>
      <c r="C29" s="113">
        <f t="shared" si="13"/>
        <v>0.70000000000000007</v>
      </c>
      <c r="D29" s="29"/>
      <c r="E29" s="58">
        <f t="shared" si="12"/>
        <v>27</v>
      </c>
      <c r="F29" s="44">
        <f t="shared" si="0"/>
        <v>0.42953729135854635</v>
      </c>
      <c r="G29" s="21"/>
      <c r="H29" s="84">
        <f t="shared" si="22"/>
        <v>0.16</v>
      </c>
      <c r="I29" s="85">
        <f t="shared" si="1"/>
        <v>0.30067610395098249</v>
      </c>
      <c r="J29" s="15"/>
      <c r="K29" s="124">
        <f t="shared" si="21"/>
        <v>0.02</v>
      </c>
      <c r="L29" s="217">
        <f t="shared" si="18"/>
        <v>1.4789773927741393E-2</v>
      </c>
      <c r="M29" s="100">
        <f t="shared" si="19"/>
        <v>-0.14067610395098248</v>
      </c>
      <c r="N29" s="101">
        <f t="shared" si="20"/>
        <v>-0.2605113036129304</v>
      </c>
      <c r="T29" s="18">
        <f t="shared" si="6"/>
        <v>0.42953729135854635</v>
      </c>
      <c r="U29" s="24"/>
      <c r="X29">
        <f t="shared" si="10"/>
        <v>20.329999999999998</v>
      </c>
      <c r="Y29" s="4">
        <f t="shared" si="23"/>
        <v>0.42953729135854635</v>
      </c>
      <c r="Z29" s="7">
        <f t="shared" si="24"/>
        <v>0</v>
      </c>
      <c r="AB29" s="4"/>
      <c r="AC29" s="2">
        <f t="shared" si="25"/>
        <v>10222.987534333404</v>
      </c>
      <c r="AF29" s="4">
        <f t="shared" si="26"/>
        <v>0.54</v>
      </c>
    </row>
    <row r="30" spans="2:37" x14ac:dyDescent="0.25">
      <c r="B30" s="214">
        <f t="shared" si="7"/>
        <v>48.33</v>
      </c>
      <c r="C30" s="113">
        <f t="shared" si="13"/>
        <v>0.70000000000000007</v>
      </c>
      <c r="D30" s="29"/>
      <c r="E30" s="58">
        <f t="shared" si="12"/>
        <v>28</v>
      </c>
      <c r="F30" s="44">
        <f t="shared" si="0"/>
        <v>0.4206496999793089</v>
      </c>
      <c r="G30" s="21"/>
      <c r="H30" s="84">
        <f t="shared" si="22"/>
        <v>0.14000000000000001</v>
      </c>
      <c r="I30" s="85">
        <f t="shared" si="1"/>
        <v>0.29445478998551627</v>
      </c>
      <c r="J30" s="15"/>
      <c r="K30" s="124">
        <f t="shared" si="21"/>
        <v>0.02</v>
      </c>
      <c r="L30" s="217">
        <f t="shared" si="18"/>
        <v>1.448375750051728E-2</v>
      </c>
      <c r="M30" s="100">
        <f t="shared" si="19"/>
        <v>-0.15445478998551626</v>
      </c>
      <c r="N30" s="101">
        <f t="shared" si="20"/>
        <v>-0.27581212497413599</v>
      </c>
      <c r="T30" s="18">
        <f t="shared" si="6"/>
        <v>0.4206496999793089</v>
      </c>
      <c r="U30" s="24"/>
      <c r="X30">
        <f t="shared" si="10"/>
        <v>20.329999999999998</v>
      </c>
      <c r="Y30" s="4">
        <f t="shared" si="23"/>
        <v>0.4206496999793089</v>
      </c>
      <c r="Z30" s="7">
        <f t="shared" si="24"/>
        <v>0</v>
      </c>
      <c r="AB30" s="4"/>
      <c r="AC30" s="2">
        <f t="shared" si="25"/>
        <v>10011.462859507554</v>
      </c>
      <c r="AF30" s="4">
        <f t="shared" si="26"/>
        <v>0.56000000000000005</v>
      </c>
    </row>
    <row r="31" spans="2:37" x14ac:dyDescent="0.25">
      <c r="B31" s="214">
        <f t="shared" si="7"/>
        <v>49.33</v>
      </c>
      <c r="C31" s="113">
        <f t="shared" si="13"/>
        <v>0.70000000000000007</v>
      </c>
      <c r="D31" s="29"/>
      <c r="E31" s="58">
        <f t="shared" si="12"/>
        <v>29</v>
      </c>
      <c r="F31" s="44">
        <f t="shared" si="0"/>
        <v>0.41212244070545306</v>
      </c>
      <c r="G31" s="21"/>
      <c r="H31" s="84">
        <f t="shared" si="22"/>
        <v>0.12</v>
      </c>
      <c r="I31" s="85">
        <f t="shared" si="1"/>
        <v>0.28848570849381716</v>
      </c>
      <c r="J31" s="15"/>
      <c r="K31" s="124">
        <f t="shared" si="21"/>
        <v>0.02</v>
      </c>
      <c r="L31" s="217">
        <f t="shared" si="18"/>
        <v>1.4190147982971824E-2</v>
      </c>
      <c r="M31" s="100">
        <f t="shared" si="19"/>
        <v>-0.16848570849381717</v>
      </c>
      <c r="N31" s="101">
        <f t="shared" si="20"/>
        <v>-0.29049260085140882</v>
      </c>
      <c r="T31" s="18">
        <f t="shared" si="6"/>
        <v>0.41212244070545306</v>
      </c>
      <c r="U31" s="24"/>
      <c r="X31">
        <f t="shared" si="10"/>
        <v>20.329999999999998</v>
      </c>
      <c r="Y31" s="4">
        <f t="shared" si="23"/>
        <v>0.41212244070545306</v>
      </c>
      <c r="Z31" s="7">
        <f t="shared" si="24"/>
        <v>0</v>
      </c>
      <c r="AB31" s="4"/>
      <c r="AC31" s="2">
        <f t="shared" si="25"/>
        <v>9808.5140887897833</v>
      </c>
      <c r="AF31" s="4">
        <f t="shared" si="26"/>
        <v>0.57999999999999996</v>
      </c>
    </row>
    <row r="32" spans="2:37" x14ac:dyDescent="0.25">
      <c r="B32" s="214">
        <f t="shared" si="7"/>
        <v>50.33</v>
      </c>
      <c r="C32" s="113">
        <f t="shared" si="13"/>
        <v>0.7</v>
      </c>
      <c r="D32" s="29"/>
      <c r="E32" s="58">
        <f t="shared" si="12"/>
        <v>30</v>
      </c>
      <c r="F32" s="44">
        <f t="shared" si="0"/>
        <v>0.40393403536658057</v>
      </c>
      <c r="G32" s="21"/>
      <c r="H32" s="84">
        <f t="shared" si="22"/>
        <v>0.1</v>
      </c>
      <c r="I32" s="85">
        <f t="shared" si="1"/>
        <v>0.28275382475660638</v>
      </c>
      <c r="J32" s="15"/>
      <c r="K32" s="124">
        <f t="shared" si="21"/>
        <v>0.02</v>
      </c>
      <c r="L32" s="217">
        <f t="shared" si="18"/>
        <v>1.3908205841446454E-2</v>
      </c>
      <c r="M32" s="100">
        <f t="shared" si="19"/>
        <v>-0.18275382475660637</v>
      </c>
      <c r="N32" s="101">
        <f t="shared" si="20"/>
        <v>-0.30458970792767737</v>
      </c>
      <c r="T32" s="18">
        <f t="shared" si="6"/>
        <v>0.40393403536658057</v>
      </c>
      <c r="U32" s="24"/>
      <c r="X32">
        <f t="shared" si="10"/>
        <v>20.329999999999998</v>
      </c>
      <c r="Y32" s="4">
        <f t="shared" si="23"/>
        <v>0.40393403536658057</v>
      </c>
      <c r="Z32" s="7">
        <f t="shared" si="24"/>
        <v>0</v>
      </c>
      <c r="AB32" s="4"/>
      <c r="AC32" s="2">
        <f t="shared" si="25"/>
        <v>9613.6300417246166</v>
      </c>
      <c r="AF32" s="4">
        <f t="shared" si="26"/>
        <v>0.6</v>
      </c>
    </row>
    <row r="33" spans="2:20" x14ac:dyDescent="0.25">
      <c r="B33" s="214">
        <f t="shared" si="7"/>
        <v>51.33</v>
      </c>
      <c r="C33" s="113">
        <f t="shared" si="13"/>
        <v>0.7</v>
      </c>
      <c r="D33" s="29"/>
      <c r="E33" s="58">
        <f t="shared" si="12"/>
        <v>31</v>
      </c>
      <c r="F33" s="44">
        <f t="shared" si="0"/>
        <v>0.39606467952464441</v>
      </c>
      <c r="G33" s="21"/>
      <c r="H33" s="84">
        <f t="shared" si="22"/>
        <v>0.08</v>
      </c>
      <c r="I33" s="85">
        <f t="shared" si="1"/>
        <v>0.27724527566725105</v>
      </c>
      <c r="J33" s="15"/>
      <c r="K33" s="124">
        <f t="shared" si="21"/>
        <v>0.02</v>
      </c>
      <c r="L33" s="217">
        <f t="shared" si="18"/>
        <v>1.3637249172024154E-2</v>
      </c>
      <c r="M33" s="100">
        <f t="shared" si="19"/>
        <v>-0.19724527566725103</v>
      </c>
      <c r="N33" s="101">
        <f t="shared" si="20"/>
        <v>-0.31813754139879236</v>
      </c>
      <c r="T33" s="18">
        <f t="shared" si="6"/>
        <v>0.39606467952464436</v>
      </c>
    </row>
    <row r="34" spans="2:20" x14ac:dyDescent="0.25">
      <c r="B34" s="214">
        <f t="shared" si="7"/>
        <v>52.33</v>
      </c>
      <c r="C34" s="113">
        <f t="shared" si="13"/>
        <v>0.7</v>
      </c>
      <c r="D34" s="29"/>
      <c r="E34" s="58">
        <f t="shared" si="12"/>
        <v>32</v>
      </c>
      <c r="F34" s="44">
        <f t="shared" si="0"/>
        <v>0.38849608255302881</v>
      </c>
      <c r="G34" s="21"/>
      <c r="H34" s="84">
        <f t="shared" si="22"/>
        <v>0.06</v>
      </c>
      <c r="I34" s="85">
        <f t="shared" si="1"/>
        <v>0.27194725778712014</v>
      </c>
      <c r="J34" s="15"/>
      <c r="K34" s="124">
        <f t="shared" si="21"/>
        <v>0.02</v>
      </c>
      <c r="L34" s="217">
        <f t="shared" si="18"/>
        <v>1.3376648194152492E-2</v>
      </c>
      <c r="M34" s="100">
        <f t="shared" si="19"/>
        <v>-0.21194725778712015</v>
      </c>
      <c r="N34" s="101">
        <f t="shared" si="20"/>
        <v>-0.33116759029237541</v>
      </c>
      <c r="T34" s="18">
        <f t="shared" si="6"/>
        <v>0.38849608255302881</v>
      </c>
    </row>
    <row r="35" spans="2:20" x14ac:dyDescent="0.25">
      <c r="B35" s="214">
        <f t="shared" si="7"/>
        <v>53.33</v>
      </c>
      <c r="C35" s="113">
        <f t="shared" si="13"/>
        <v>0.7</v>
      </c>
      <c r="D35" s="29"/>
      <c r="E35" s="58">
        <f t="shared" si="12"/>
        <v>33</v>
      </c>
      <c r="F35" s="44">
        <f t="shared" si="0"/>
        <v>0.38121132570785671</v>
      </c>
      <c r="G35" s="21"/>
      <c r="H35" s="84">
        <f t="shared" si="22"/>
        <v>0.04</v>
      </c>
      <c r="I35" s="85">
        <f t="shared" si="1"/>
        <v>0.26684792799549967</v>
      </c>
      <c r="J35" s="15"/>
      <c r="K35" s="124">
        <f t="shared" si="21"/>
        <v>0.02</v>
      </c>
      <c r="L35" s="217">
        <f t="shared" si="18"/>
        <v>1.3125820363772734E-2</v>
      </c>
      <c r="M35" s="100">
        <f t="shared" si="19"/>
        <v>-0.22684792799549966</v>
      </c>
      <c r="N35" s="101">
        <f t="shared" si="20"/>
        <v>-0.34370898181136333</v>
      </c>
      <c r="T35" s="18">
        <f t="shared" si="6"/>
        <v>0.38121132570785671</v>
      </c>
    </row>
    <row r="36" spans="2:20" ht="14.4" thickBot="1" x14ac:dyDescent="0.3">
      <c r="B36" s="214">
        <f t="shared" si="7"/>
        <v>54.33</v>
      </c>
      <c r="C36" s="114">
        <f t="shared" si="13"/>
        <v>0.7</v>
      </c>
      <c r="D36" s="56"/>
      <c r="E36" s="59">
        <f t="shared" si="12"/>
        <v>34</v>
      </c>
      <c r="F36" s="48">
        <f t="shared" si="0"/>
        <v>0.37419473587336644</v>
      </c>
      <c r="G36" s="148"/>
      <c r="H36" s="90">
        <f t="shared" si="22"/>
        <v>0.02</v>
      </c>
      <c r="I36" s="91">
        <f t="shared" si="1"/>
        <v>0.26193631511135651</v>
      </c>
      <c r="J36" s="149"/>
      <c r="K36" s="211">
        <f t="shared" si="21"/>
        <v>0.02</v>
      </c>
      <c r="L36" s="218">
        <f t="shared" si="18"/>
        <v>1.2884226026136572E-2</v>
      </c>
      <c r="M36" s="102">
        <f t="shared" si="19"/>
        <v>-0.24193631511135652</v>
      </c>
      <c r="N36" s="103">
        <f t="shared" si="20"/>
        <v>-0.35578869869317142</v>
      </c>
      <c r="T36" s="18">
        <f t="shared" si="6"/>
        <v>0.37419473587336649</v>
      </c>
    </row>
    <row r="37" spans="2:20" x14ac:dyDescent="0.25">
      <c r="B37" s="7"/>
      <c r="C37" s="29"/>
      <c r="D37" s="29"/>
      <c r="F37" s="21"/>
      <c r="G37" s="21"/>
      <c r="H37" s="21"/>
      <c r="I37" s="15"/>
      <c r="J37" s="224"/>
      <c r="K37" s="15"/>
      <c r="L37" s="150"/>
      <c r="M37" s="121" t="s">
        <v>52</v>
      </c>
      <c r="N37" s="121"/>
      <c r="T37" s="24"/>
    </row>
    <row r="38" spans="2:20" x14ac:dyDescent="0.25">
      <c r="B38" s="7"/>
      <c r="C38" s="27"/>
      <c r="D38" s="29"/>
      <c r="H38" s="4">
        <v>0.1</v>
      </c>
      <c r="I38" s="4">
        <v>0.40659999999999996</v>
      </c>
      <c r="K38" s="1">
        <f>H38+I38</f>
        <v>0.50659999999999994</v>
      </c>
      <c r="L38" s="225">
        <v>0.02</v>
      </c>
      <c r="M38" s="121" t="s">
        <v>52</v>
      </c>
      <c r="N38" s="1"/>
    </row>
    <row r="39" spans="2:20" x14ac:dyDescent="0.25">
      <c r="H39" s="4">
        <v>0.2</v>
      </c>
      <c r="I39" s="4">
        <v>0.40660000000000002</v>
      </c>
      <c r="K39" s="1">
        <f t="shared" ref="K39:K66" si="27">H39+I39</f>
        <v>0.60660000000000003</v>
      </c>
      <c r="L39" s="226">
        <v>2.0000000000000004E-2</v>
      </c>
    </row>
    <row r="40" spans="2:20" x14ac:dyDescent="0.25">
      <c r="H40" s="4">
        <v>0.22</v>
      </c>
      <c r="I40" s="4">
        <v>0.40659999999999996</v>
      </c>
      <c r="K40" s="1">
        <f t="shared" si="27"/>
        <v>0.62659999999999993</v>
      </c>
      <c r="L40" s="226">
        <v>0.02</v>
      </c>
    </row>
    <row r="41" spans="2:20" x14ac:dyDescent="0.25">
      <c r="H41" s="4">
        <v>0.24</v>
      </c>
      <c r="I41" s="4">
        <v>0.40659999999999996</v>
      </c>
      <c r="K41" s="1">
        <f t="shared" si="27"/>
        <v>0.64659999999999995</v>
      </c>
      <c r="L41" s="226">
        <v>0.02</v>
      </c>
    </row>
    <row r="42" spans="2:20" x14ac:dyDescent="0.25">
      <c r="H42" s="4">
        <v>0.26</v>
      </c>
      <c r="I42" s="4">
        <v>0.40659999999999996</v>
      </c>
      <c r="K42" s="1">
        <f t="shared" si="27"/>
        <v>0.66659999999999997</v>
      </c>
      <c r="L42" s="226">
        <v>0.02</v>
      </c>
    </row>
    <row r="43" spans="2:20" x14ac:dyDescent="0.25">
      <c r="H43" s="4">
        <v>0.28000000000000003</v>
      </c>
      <c r="I43" s="4">
        <v>0.40660000000000002</v>
      </c>
      <c r="K43" s="1">
        <f t="shared" si="27"/>
        <v>0.6866000000000001</v>
      </c>
      <c r="L43" s="226">
        <v>2.0000000000000004E-2</v>
      </c>
    </row>
    <row r="44" spans="2:20" x14ac:dyDescent="0.25">
      <c r="H44" s="13">
        <v>0.29339999999999999</v>
      </c>
      <c r="I44" s="13">
        <v>0.40660000000000002</v>
      </c>
      <c r="K44" s="227">
        <f t="shared" si="27"/>
        <v>0.7</v>
      </c>
      <c r="L44" s="226">
        <v>2.0000000000000004E-2</v>
      </c>
    </row>
    <row r="45" spans="2:20" x14ac:dyDescent="0.25">
      <c r="H45" s="4">
        <v>0.29339999999999999</v>
      </c>
      <c r="I45" s="4">
        <v>0.40280215114633455</v>
      </c>
      <c r="K45" s="1">
        <f t="shared" si="27"/>
        <v>0.69620215114633455</v>
      </c>
      <c r="L45" s="226">
        <v>1.9813189923577699E-2</v>
      </c>
    </row>
    <row r="46" spans="2:20" x14ac:dyDescent="0.25">
      <c r="H46" s="4">
        <v>0.3</v>
      </c>
      <c r="I46" s="4">
        <v>0.39171483622350678</v>
      </c>
      <c r="K46" s="1">
        <f t="shared" si="27"/>
        <v>0.69171483622350682</v>
      </c>
      <c r="L46" s="226">
        <v>1.926782273603083E-2</v>
      </c>
    </row>
    <row r="47" spans="2:20" x14ac:dyDescent="0.25">
      <c r="H47" s="4">
        <v>0.32</v>
      </c>
      <c r="I47" s="4">
        <v>0.38122153763728905</v>
      </c>
      <c r="K47" s="1">
        <f t="shared" si="27"/>
        <v>0.70122153763728901</v>
      </c>
      <c r="L47" s="226">
        <v>1.8751674256630057E-2</v>
      </c>
    </row>
    <row r="48" spans="2:20" x14ac:dyDescent="0.25">
      <c r="H48" s="4">
        <v>0.34</v>
      </c>
      <c r="I48" s="4">
        <v>0.37127576310983562</v>
      </c>
      <c r="K48" s="1">
        <f t="shared" si="27"/>
        <v>0.71127576310983565</v>
      </c>
      <c r="L48" s="226">
        <v>1.8262457605009132E-2</v>
      </c>
    </row>
    <row r="49" spans="8:12" x14ac:dyDescent="0.25">
      <c r="H49" s="4">
        <v>0.36</v>
      </c>
      <c r="I49" s="4">
        <v>0.36183574879227048</v>
      </c>
      <c r="K49" s="1">
        <f t="shared" si="27"/>
        <v>0.72183574879227042</v>
      </c>
      <c r="L49" s="226">
        <v>1.7798118484617341E-2</v>
      </c>
    </row>
    <row r="50" spans="8:12" x14ac:dyDescent="0.25">
      <c r="H50" s="4">
        <v>0.38</v>
      </c>
      <c r="I50" s="4">
        <v>0.35286387304735922</v>
      </c>
      <c r="K50" s="1">
        <f t="shared" si="27"/>
        <v>0.73286387304735923</v>
      </c>
      <c r="L50" s="226">
        <v>1.7356806347632033E-2</v>
      </c>
    </row>
    <row r="51" spans="8:12" x14ac:dyDescent="0.25">
      <c r="H51" s="4">
        <v>0.4</v>
      </c>
      <c r="I51" s="4">
        <v>0.34432615533510769</v>
      </c>
      <c r="K51" s="1">
        <f t="shared" si="27"/>
        <v>0.74432615533510771</v>
      </c>
      <c r="L51" s="226">
        <v>1.6936849745947256E-2</v>
      </c>
    </row>
    <row r="52" spans="8:12" x14ac:dyDescent="0.25">
      <c r="H52" s="4">
        <v>0.42</v>
      </c>
      <c r="I52" s="4">
        <v>0.3361918261280416</v>
      </c>
      <c r="K52" s="1">
        <f t="shared" si="27"/>
        <v>0.75619182612804159</v>
      </c>
      <c r="L52" s="226">
        <v>1.6536735175998112E-2</v>
      </c>
    </row>
    <row r="53" spans="8:12" x14ac:dyDescent="0.25">
      <c r="H53" s="4">
        <v>0.44</v>
      </c>
      <c r="I53" s="4">
        <v>0.33351300679634399</v>
      </c>
      <c r="K53" s="1">
        <f t="shared" si="27"/>
        <v>0.77351300679634405</v>
      </c>
      <c r="L53" s="226">
        <v>1.6404968361846729E-2</v>
      </c>
    </row>
    <row r="54" spans="8:12" x14ac:dyDescent="0.25">
      <c r="H54" s="4">
        <v>0.44680000000000003</v>
      </c>
      <c r="I54" s="4">
        <v>0.32843295638126008</v>
      </c>
      <c r="K54" s="1">
        <f t="shared" si="27"/>
        <v>0.77523295638126011</v>
      </c>
      <c r="L54" s="226">
        <v>1.6155088852988692E-2</v>
      </c>
    </row>
    <row r="55" spans="8:12" x14ac:dyDescent="0.25">
      <c r="H55" s="4">
        <v>0.46</v>
      </c>
      <c r="I55" s="4">
        <v>0.32102413715316935</v>
      </c>
      <c r="K55" s="1">
        <f t="shared" si="27"/>
        <v>0.78102413715316943</v>
      </c>
      <c r="L55" s="226">
        <v>1.5790660951951273E-2</v>
      </c>
    </row>
    <row r="56" spans="8:12" x14ac:dyDescent="0.25">
      <c r="H56" s="4">
        <v>0.48</v>
      </c>
      <c r="I56" s="4">
        <v>0.31394220163247294</v>
      </c>
      <c r="K56" s="1">
        <f t="shared" si="27"/>
        <v>0.79394220163247287</v>
      </c>
      <c r="L56" s="226">
        <v>1.5442311934701081E-2</v>
      </c>
    </row>
    <row r="57" spans="8:12" x14ac:dyDescent="0.25">
      <c r="H57" s="4">
        <v>0.5</v>
      </c>
      <c r="I57" s="4">
        <v>0.30716598316425636</v>
      </c>
      <c r="K57" s="1">
        <f t="shared" si="27"/>
        <v>0.80716598316425636</v>
      </c>
      <c r="L57" s="226">
        <v>1.5109000647528598E-2</v>
      </c>
    </row>
    <row r="58" spans="8:12" x14ac:dyDescent="0.25">
      <c r="H58" s="4">
        <v>0.52</v>
      </c>
      <c r="I58" s="4">
        <v>0.30067610395098249</v>
      </c>
      <c r="K58" s="1">
        <f t="shared" si="27"/>
        <v>0.82067610395098245</v>
      </c>
      <c r="L58" s="226">
        <v>1.4789773927741393E-2</v>
      </c>
    </row>
    <row r="59" spans="8:12" x14ac:dyDescent="0.25">
      <c r="H59" s="4">
        <v>0.54</v>
      </c>
      <c r="I59" s="4">
        <v>0.29445478998551627</v>
      </c>
      <c r="K59" s="1">
        <f t="shared" si="27"/>
        <v>0.83445478998551637</v>
      </c>
      <c r="L59" s="226">
        <v>1.448375750051728E-2</v>
      </c>
    </row>
    <row r="60" spans="8:12" x14ac:dyDescent="0.25">
      <c r="H60" s="4">
        <v>0.56000000000000005</v>
      </c>
      <c r="I60" s="4">
        <v>0.28848570849381716</v>
      </c>
      <c r="K60" s="1">
        <f t="shared" si="27"/>
        <v>0.84848570849381721</v>
      </c>
      <c r="L60" s="226">
        <v>1.4190147982971824E-2</v>
      </c>
    </row>
    <row r="61" spans="8:12" x14ac:dyDescent="0.25">
      <c r="H61" s="4">
        <v>0.57999999999999996</v>
      </c>
      <c r="I61" s="4">
        <v>0.28275382475660638</v>
      </c>
      <c r="K61" s="1">
        <f t="shared" si="27"/>
        <v>0.86275382475660634</v>
      </c>
      <c r="L61" s="226">
        <v>1.3908205841446454E-2</v>
      </c>
    </row>
    <row r="62" spans="8:12" x14ac:dyDescent="0.25">
      <c r="H62" s="4">
        <v>0.6</v>
      </c>
      <c r="I62" s="4">
        <v>0.27724527566725105</v>
      </c>
      <c r="K62" s="1">
        <f t="shared" si="27"/>
        <v>0.87724527566725108</v>
      </c>
      <c r="L62" s="226">
        <v>1.3637249172024154E-2</v>
      </c>
    </row>
    <row r="63" spans="8:12" x14ac:dyDescent="0.25">
      <c r="H63" s="4">
        <v>0.62</v>
      </c>
      <c r="I63" s="4">
        <v>0.27194725778712014</v>
      </c>
      <c r="K63" s="1">
        <f t="shared" si="27"/>
        <v>0.89194725778712014</v>
      </c>
      <c r="L63" s="226">
        <v>1.3376648194152492E-2</v>
      </c>
    </row>
    <row r="64" spans="8:12" x14ac:dyDescent="0.25">
      <c r="H64" s="4">
        <v>0.64</v>
      </c>
      <c r="I64" s="4">
        <v>0.26684792799549967</v>
      </c>
      <c r="K64" s="1">
        <f t="shared" si="27"/>
        <v>0.90684792799549974</v>
      </c>
      <c r="L64" s="226">
        <v>1.3125820363772734E-2</v>
      </c>
    </row>
    <row r="65" spans="8:12" x14ac:dyDescent="0.25">
      <c r="H65" s="4">
        <v>0.66</v>
      </c>
      <c r="I65" s="4">
        <v>0.26193631511135651</v>
      </c>
      <c r="K65" s="1">
        <f t="shared" si="27"/>
        <v>0.92193631511135654</v>
      </c>
      <c r="L65" s="226">
        <v>1.2884226026136572E-2</v>
      </c>
    </row>
    <row r="66" spans="8:12" x14ac:dyDescent="0.25">
      <c r="H66" s="4">
        <v>0.68</v>
      </c>
      <c r="K66" s="1">
        <f t="shared" si="27"/>
        <v>0.68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4E8A-BBF6-45CA-810D-F5CC411CAE73}">
  <dimension ref="A1:AY40"/>
  <sheetViews>
    <sheetView rightToLeft="1" topLeftCell="I4" zoomScale="118" workbookViewId="0">
      <selection activeCell="T17" sqref="T17"/>
    </sheetView>
  </sheetViews>
  <sheetFormatPr defaultRowHeight="13.85" x14ac:dyDescent="0.25"/>
  <cols>
    <col min="1" max="1" width="8.6328125" customWidth="1"/>
    <col min="2" max="2" width="8.90625" customWidth="1"/>
    <col min="3" max="3" width="7.6328125" customWidth="1"/>
    <col min="4" max="4" width="1.36328125" customWidth="1"/>
    <col min="5" max="5" width="8.36328125" style="7" customWidth="1"/>
    <col min="6" max="8" width="9.453125" customWidth="1"/>
    <col min="9" max="9" width="1.26953125" customWidth="1"/>
    <col min="10" max="10" width="8.81640625" customWidth="1"/>
    <col min="11" max="11" width="8.26953125" customWidth="1"/>
    <col min="12" max="12" width="1.81640625" customWidth="1"/>
    <col min="13" max="14" width="10.36328125" customWidth="1"/>
    <col min="15" max="15" width="1.26953125" customWidth="1"/>
    <col min="16" max="16" width="7.90625" customWidth="1"/>
    <col min="17" max="17" width="8.453125" customWidth="1"/>
    <col min="18" max="18" width="1.26953125" style="236" customWidth="1"/>
    <col min="19" max="20" width="10.54296875" customWidth="1"/>
    <col min="21" max="21" width="1.54296875" style="236" customWidth="1"/>
    <col min="22" max="22" width="8.36328125" style="236" customWidth="1"/>
    <col min="23" max="23" width="8.1796875" style="236" customWidth="1"/>
    <col min="24" max="24" width="3.36328125" style="236" customWidth="1"/>
    <col min="25" max="25" width="6.6328125" customWidth="1"/>
    <col min="26" max="26" width="10.453125" customWidth="1"/>
    <col min="27" max="27" width="8.81640625" customWidth="1"/>
    <col min="28" max="28" width="10.1796875" customWidth="1"/>
    <col min="34" max="36" width="7.453125" customWidth="1"/>
    <col min="38" max="42" width="8.81640625" customWidth="1"/>
    <col min="43" max="43" width="9.81640625" customWidth="1"/>
    <col min="44" max="44" width="9" customWidth="1"/>
    <col min="45" max="45" width="7.90625" customWidth="1"/>
    <col min="46" max="46" width="8.6328125" customWidth="1"/>
    <col min="50" max="50" width="9.6328125" bestFit="1" customWidth="1"/>
  </cols>
  <sheetData>
    <row r="1" spans="1:51" ht="17.850000000000001" x14ac:dyDescent="0.35">
      <c r="B1" s="36" t="s">
        <v>102</v>
      </c>
      <c r="G1" s="365">
        <v>0.02</v>
      </c>
      <c r="H1" s="366">
        <v>35</v>
      </c>
      <c r="J1" s="36" t="s">
        <v>45</v>
      </c>
      <c r="K1" s="36"/>
      <c r="L1" s="36"/>
    </row>
    <row r="2" spans="1:51" ht="18.45" thickBot="1" x14ac:dyDescent="0.4">
      <c r="B2" s="36" t="s">
        <v>52</v>
      </c>
      <c r="G2" s="7"/>
      <c r="K2" s="36" t="s">
        <v>97</v>
      </c>
      <c r="P2" s="36" t="s">
        <v>88</v>
      </c>
      <c r="Q2" s="36"/>
      <c r="R2" s="304"/>
      <c r="S2" s="36"/>
      <c r="T2" s="36"/>
      <c r="U2" s="304"/>
      <c r="V2" s="304" t="s">
        <v>103</v>
      </c>
      <c r="W2" s="304"/>
      <c r="X2" s="304"/>
    </row>
    <row r="3" spans="1:51" ht="18.45" thickBot="1" x14ac:dyDescent="0.4">
      <c r="B3" s="68" t="s">
        <v>38</v>
      </c>
      <c r="C3" s="319"/>
      <c r="D3" s="318"/>
      <c r="E3" s="65" t="s">
        <v>41</v>
      </c>
      <c r="F3" s="67"/>
      <c r="G3" s="228" t="s">
        <v>99</v>
      </c>
      <c r="H3" s="283"/>
      <c r="J3" s="240" t="s">
        <v>91</v>
      </c>
      <c r="K3" s="287"/>
      <c r="L3" s="272"/>
      <c r="M3" s="281" t="s">
        <v>96</v>
      </c>
      <c r="N3" s="303"/>
      <c r="O3" s="36"/>
      <c r="P3" s="240" t="s">
        <v>91</v>
      </c>
      <c r="Q3" s="268"/>
      <c r="R3" s="244"/>
      <c r="S3" s="281" t="s">
        <v>96</v>
      </c>
      <c r="T3" s="271"/>
      <c r="U3" s="351"/>
      <c r="V3" s="351"/>
      <c r="W3" s="351"/>
      <c r="X3" s="351"/>
      <c r="Y3" s="68"/>
      <c r="Z3" s="182"/>
      <c r="AA3" s="74" t="s">
        <v>37</v>
      </c>
      <c r="AB3" s="69"/>
      <c r="AH3" s="36"/>
    </row>
    <row r="4" spans="1:51" ht="14.4" thickBot="1" x14ac:dyDescent="0.3">
      <c r="A4" t="s">
        <v>52</v>
      </c>
      <c r="B4" s="320">
        <v>1</v>
      </c>
      <c r="C4" s="321">
        <v>2</v>
      </c>
      <c r="D4" s="8"/>
      <c r="E4" s="139">
        <v>3</v>
      </c>
      <c r="F4" s="142">
        <v>4</v>
      </c>
      <c r="G4" s="131">
        <v>5</v>
      </c>
      <c r="H4" s="143">
        <v>6</v>
      </c>
      <c r="I4" s="8"/>
      <c r="J4" s="157">
        <v>5</v>
      </c>
      <c r="K4" s="288">
        <v>6</v>
      </c>
      <c r="L4" s="276"/>
      <c r="M4" s="297">
        <v>7</v>
      </c>
      <c r="N4" s="292">
        <v>8</v>
      </c>
      <c r="O4" s="8"/>
      <c r="P4" s="331">
        <v>9</v>
      </c>
      <c r="Q4" s="311">
        <v>10</v>
      </c>
      <c r="R4" s="305"/>
      <c r="S4" s="300">
        <v>11</v>
      </c>
      <c r="T4" s="265">
        <v>12</v>
      </c>
      <c r="U4" s="305"/>
      <c r="V4" s="305"/>
      <c r="W4" s="305"/>
      <c r="X4" s="305"/>
      <c r="Y4" s="160">
        <v>7</v>
      </c>
      <c r="Z4" s="157">
        <v>8</v>
      </c>
      <c r="AA4" s="157">
        <v>9</v>
      </c>
      <c r="AB4" s="156">
        <v>10</v>
      </c>
      <c r="AI4" s="8"/>
    </row>
    <row r="5" spans="1:51" x14ac:dyDescent="0.25">
      <c r="B5" s="322" t="s">
        <v>5</v>
      </c>
      <c r="C5" s="323" t="s">
        <v>84</v>
      </c>
      <c r="D5" s="174"/>
      <c r="E5" s="238" t="s">
        <v>14</v>
      </c>
      <c r="F5" s="246" t="s">
        <v>26</v>
      </c>
      <c r="G5" s="258" t="s">
        <v>26</v>
      </c>
      <c r="H5" s="229" t="s">
        <v>78</v>
      </c>
      <c r="I5" s="5"/>
      <c r="J5" s="286" t="s">
        <v>93</v>
      </c>
      <c r="K5" s="273" t="s">
        <v>92</v>
      </c>
      <c r="L5" s="277"/>
      <c r="M5" s="312" t="s">
        <v>95</v>
      </c>
      <c r="N5" s="293" t="s">
        <v>84</v>
      </c>
      <c r="O5" s="92"/>
      <c r="P5" s="332" t="s">
        <v>82</v>
      </c>
      <c r="Q5" s="273" t="s">
        <v>92</v>
      </c>
      <c r="R5" s="306"/>
      <c r="S5" s="298" t="s">
        <v>7</v>
      </c>
      <c r="T5" s="293" t="s">
        <v>84</v>
      </c>
      <c r="U5" s="352"/>
      <c r="V5" s="352"/>
      <c r="W5" s="352"/>
      <c r="X5" s="352"/>
      <c r="Y5" s="179" t="s">
        <v>56</v>
      </c>
      <c r="Z5" s="146"/>
      <c r="AA5" s="126" t="s">
        <v>43</v>
      </c>
      <c r="AB5" s="168" t="s">
        <v>42</v>
      </c>
      <c r="AL5" t="s">
        <v>16</v>
      </c>
      <c r="AM5" s="5" t="s">
        <v>11</v>
      </c>
      <c r="AN5" t="s">
        <v>5</v>
      </c>
      <c r="AP5" s="1" t="s">
        <v>12</v>
      </c>
      <c r="AQ5" t="s">
        <v>6</v>
      </c>
      <c r="AR5" t="s">
        <v>9</v>
      </c>
      <c r="AS5" t="s">
        <v>3</v>
      </c>
      <c r="AT5" s="3" t="s">
        <v>4</v>
      </c>
      <c r="AV5" t="s">
        <v>3</v>
      </c>
      <c r="AW5" t="s">
        <v>2</v>
      </c>
      <c r="AX5" t="s">
        <v>1</v>
      </c>
      <c r="AY5" t="s">
        <v>5</v>
      </c>
    </row>
    <row r="6" spans="1:51" x14ac:dyDescent="0.25">
      <c r="B6" s="324" t="s">
        <v>30</v>
      </c>
      <c r="C6" s="325" t="s">
        <v>83</v>
      </c>
      <c r="D6" s="34"/>
      <c r="E6" s="247" t="s">
        <v>25</v>
      </c>
      <c r="F6" s="248" t="s">
        <v>29</v>
      </c>
      <c r="G6" s="259" t="s">
        <v>76</v>
      </c>
      <c r="H6" s="41" t="s">
        <v>79</v>
      </c>
      <c r="I6" s="5"/>
      <c r="J6" s="239" t="s">
        <v>94</v>
      </c>
      <c r="K6" s="274" t="s">
        <v>85</v>
      </c>
      <c r="L6" s="278"/>
      <c r="M6" s="313" t="s">
        <v>8</v>
      </c>
      <c r="N6" s="294" t="s">
        <v>85</v>
      </c>
      <c r="O6" s="31"/>
      <c r="P6" s="333" t="s">
        <v>98</v>
      </c>
      <c r="Q6" s="274" t="s">
        <v>85</v>
      </c>
      <c r="R6" s="307"/>
      <c r="S6" s="299" t="s">
        <v>63</v>
      </c>
      <c r="T6" s="294" t="s">
        <v>85</v>
      </c>
      <c r="U6" s="278"/>
      <c r="V6" s="278"/>
      <c r="W6" s="278"/>
      <c r="X6" s="278"/>
      <c r="Y6" s="159" t="s">
        <v>53</v>
      </c>
      <c r="Z6" s="78"/>
      <c r="AA6" s="7" t="s">
        <v>19</v>
      </c>
      <c r="AB6" s="169" t="s">
        <v>33</v>
      </c>
      <c r="AH6" s="10"/>
      <c r="AI6" s="1"/>
      <c r="AL6" s="9">
        <v>10000</v>
      </c>
      <c r="AM6" s="9" t="s">
        <v>15</v>
      </c>
      <c r="AN6" s="8" t="s">
        <v>10</v>
      </c>
      <c r="AP6" s="11" t="s">
        <v>13</v>
      </c>
      <c r="AQ6" s="11" t="s">
        <v>8</v>
      </c>
      <c r="AY6" s="1">
        <v>0.02</v>
      </c>
    </row>
    <row r="7" spans="1:51" x14ac:dyDescent="0.25">
      <c r="B7" s="326">
        <v>20</v>
      </c>
      <c r="C7" s="327">
        <v>0.02</v>
      </c>
      <c r="D7" s="34"/>
      <c r="E7" s="249">
        <v>34000</v>
      </c>
      <c r="F7" s="250" t="s">
        <v>15</v>
      </c>
      <c r="G7" s="230" t="s">
        <v>15</v>
      </c>
      <c r="H7" s="284" t="s">
        <v>80</v>
      </c>
      <c r="I7" s="9"/>
      <c r="J7" s="285">
        <v>0.02</v>
      </c>
      <c r="K7" s="275" t="s">
        <v>86</v>
      </c>
      <c r="L7" s="279"/>
      <c r="M7" s="314" t="s">
        <v>28</v>
      </c>
      <c r="N7" s="295" t="s">
        <v>86</v>
      </c>
      <c r="O7" s="8"/>
      <c r="P7" s="263">
        <v>0.02</v>
      </c>
      <c r="Q7" s="275" t="s">
        <v>86</v>
      </c>
      <c r="R7" s="308"/>
      <c r="S7" s="300" t="s">
        <v>28</v>
      </c>
      <c r="T7" s="295" t="s">
        <v>86</v>
      </c>
      <c r="U7" s="279"/>
      <c r="V7" s="279"/>
      <c r="W7" s="279"/>
      <c r="X7" s="279"/>
      <c r="Y7" s="160" t="s">
        <v>55</v>
      </c>
      <c r="Z7" s="131" t="s">
        <v>28</v>
      </c>
      <c r="AA7" s="11" t="s">
        <v>35</v>
      </c>
      <c r="AB7" s="170" t="s">
        <v>34</v>
      </c>
      <c r="AH7" s="10"/>
      <c r="AI7" s="10"/>
      <c r="AL7" s="9"/>
      <c r="AM7" s="9"/>
      <c r="AN7" s="8"/>
      <c r="AP7" s="11"/>
      <c r="AQ7" s="11"/>
      <c r="AY7" s="1"/>
    </row>
    <row r="8" spans="1:51" x14ac:dyDescent="0.25">
      <c r="B8" s="326" t="s">
        <v>57</v>
      </c>
      <c r="C8" s="339">
        <v>0.7</v>
      </c>
      <c r="D8" s="55"/>
      <c r="E8" s="251"/>
      <c r="F8" s="252" t="s">
        <v>32</v>
      </c>
      <c r="G8" s="231" t="s">
        <v>77</v>
      </c>
      <c r="H8" s="237" t="s">
        <v>81</v>
      </c>
      <c r="I8" s="75"/>
      <c r="J8" s="243" t="s">
        <v>90</v>
      </c>
      <c r="K8" s="252" t="s">
        <v>87</v>
      </c>
      <c r="L8" s="269"/>
      <c r="M8" s="315" t="s">
        <v>49</v>
      </c>
      <c r="N8" s="43" t="s">
        <v>89</v>
      </c>
      <c r="O8" s="43"/>
      <c r="P8" s="43" t="s">
        <v>100</v>
      </c>
      <c r="Q8" s="43" t="s">
        <v>101</v>
      </c>
      <c r="R8" s="309"/>
      <c r="S8" s="252" t="s">
        <v>49</v>
      </c>
      <c r="T8" s="309"/>
      <c r="U8" s="309"/>
      <c r="V8" s="309"/>
      <c r="W8" s="309"/>
      <c r="X8" s="309"/>
      <c r="Y8" s="180" t="s">
        <v>54</v>
      </c>
      <c r="Z8" s="123" t="s">
        <v>23</v>
      </c>
      <c r="AA8" s="26" t="s">
        <v>44</v>
      </c>
      <c r="AB8" s="123" t="s">
        <v>58</v>
      </c>
      <c r="AH8" s="19"/>
      <c r="AI8" s="10"/>
      <c r="AL8" s="33">
        <v>20.329999999999998</v>
      </c>
      <c r="AM8" s="9"/>
      <c r="AN8" s="8"/>
      <c r="AP8" s="11"/>
      <c r="AQ8" s="11"/>
      <c r="AY8" s="1"/>
    </row>
    <row r="9" spans="1:51" x14ac:dyDescent="0.25">
      <c r="B9" s="322">
        <v>20</v>
      </c>
      <c r="C9" s="328">
        <f>IF(B9&lt;$H$1,B9*$C$7,(B9-(B9-$H$1))*$C$7)</f>
        <v>0.4</v>
      </c>
      <c r="D9" s="55"/>
      <c r="E9" s="253">
        <f t="shared" ref="E9:E37" si="0">IF(B9&gt;$B$7,B9-$B$7,0)</f>
        <v>0</v>
      </c>
      <c r="F9" s="254">
        <f t="shared" ref="F9:F16" si="1">E9/B9</f>
        <v>0</v>
      </c>
      <c r="G9" s="260">
        <f>IF(E9&gt;0,$B$7/B9,100%)</f>
        <v>1</v>
      </c>
      <c r="H9" s="234">
        <f>G9+F9</f>
        <v>1</v>
      </c>
      <c r="I9" s="75"/>
      <c r="J9" s="242">
        <f>E9*$J$7</f>
        <v>0</v>
      </c>
      <c r="K9" s="232">
        <f>IF(J9=0,0,J9/E9)</f>
        <v>0</v>
      </c>
      <c r="L9" s="21"/>
      <c r="M9" s="316">
        <f t="shared" ref="M9:M16" si="2">F9*C9</f>
        <v>0</v>
      </c>
      <c r="N9" s="296">
        <f>IF(AND(B9&lt;$B$16,M9&gt;0),M9/E9,M9/($B$7*G9))</f>
        <v>0</v>
      </c>
      <c r="O9" s="15"/>
      <c r="P9" s="264">
        <f>IF(C9&lt;$C$8,$B$7*$C$7,$C$8-F9)</f>
        <v>0.4</v>
      </c>
      <c r="Q9" s="334">
        <f t="shared" ref="Q9:Q37" si="3">P9/$B$7</f>
        <v>0.02</v>
      </c>
      <c r="R9" s="282"/>
      <c r="S9" s="301">
        <f t="shared" ref="S9:S16" si="4">C9*G9</f>
        <v>0.4</v>
      </c>
      <c r="T9" s="267">
        <f t="shared" ref="T9:T37" si="5">S9/$B$7</f>
        <v>0.02</v>
      </c>
      <c r="U9" s="150"/>
      <c r="V9" s="367">
        <f>Q9*B9</f>
        <v>0.4</v>
      </c>
      <c r="W9" s="267">
        <f>B9*T9</f>
        <v>0.4</v>
      </c>
      <c r="X9" s="150"/>
      <c r="Y9" s="183" t="e">
        <f>J9/E9</f>
        <v>#DIV/0!</v>
      </c>
      <c r="Z9" s="183" t="e">
        <f>M9/E9</f>
        <v>#DIV/0!</v>
      </c>
      <c r="AA9" s="122">
        <f>J9-M9</f>
        <v>0</v>
      </c>
      <c r="AB9" s="124" t="e">
        <f t="shared" ref="AB9:AB16" si="6">((Z9/$C$7)-1)*-1</f>
        <v>#DIV/0!</v>
      </c>
      <c r="AH9" s="19"/>
      <c r="AI9" s="10"/>
      <c r="AL9" s="33"/>
      <c r="AM9" s="9"/>
      <c r="AN9" s="8"/>
      <c r="AP9" s="11"/>
      <c r="AQ9" s="11"/>
      <c r="AY9" s="1"/>
    </row>
    <row r="10" spans="1:51" x14ac:dyDescent="0.25">
      <c r="B10" s="322">
        <v>25</v>
      </c>
      <c r="C10" s="328">
        <f>IF(B10&lt;$H$1,B10*$C$7,(B10-(B10-$H$1))*$C$7)</f>
        <v>0.5</v>
      </c>
      <c r="D10" s="55"/>
      <c r="E10" s="253">
        <f t="shared" si="0"/>
        <v>5</v>
      </c>
      <c r="F10" s="254">
        <f t="shared" si="1"/>
        <v>0.2</v>
      </c>
      <c r="G10" s="260">
        <f>IF(E10&gt;0,$B$7/B10,100%)</f>
        <v>0.8</v>
      </c>
      <c r="H10" s="234">
        <f>G10+F10</f>
        <v>1</v>
      </c>
      <c r="I10" s="75"/>
      <c r="J10" s="242">
        <f>E10*$J$7</f>
        <v>0.1</v>
      </c>
      <c r="K10" s="232">
        <f>IF(J10=0,0,J10/E10)</f>
        <v>0.02</v>
      </c>
      <c r="L10" s="21"/>
      <c r="M10" s="316">
        <f>F10*C10</f>
        <v>0.1</v>
      </c>
      <c r="N10" s="296">
        <f>IF(AND(B10&lt;$B$16,M10&gt;0),M10/E10,M10/($B$7*G10))</f>
        <v>0.02</v>
      </c>
      <c r="O10" s="15"/>
      <c r="P10" s="264">
        <f>IF(C10&lt;$C$8,$B$7*$C$7,$C$8-F10)</f>
        <v>0.4</v>
      </c>
      <c r="Q10" s="334">
        <f t="shared" si="3"/>
        <v>0.02</v>
      </c>
      <c r="R10" s="282"/>
      <c r="S10" s="301">
        <f>C10*G10</f>
        <v>0.4</v>
      </c>
      <c r="T10" s="267">
        <f t="shared" si="5"/>
        <v>0.02</v>
      </c>
      <c r="U10" s="150"/>
      <c r="V10" s="367">
        <f t="shared" ref="V10:V37" si="7">Q10*B10</f>
        <v>0.5</v>
      </c>
      <c r="W10" s="267">
        <f t="shared" ref="W10:W13" si="8">B10*T10</f>
        <v>0.5</v>
      </c>
      <c r="X10" s="150"/>
      <c r="Y10" s="183"/>
      <c r="Z10" s="183"/>
      <c r="AA10" s="122"/>
      <c r="AB10" s="124"/>
      <c r="AH10" s="19"/>
      <c r="AI10" s="10"/>
      <c r="AL10" s="33"/>
      <c r="AM10" s="9"/>
      <c r="AN10" s="8"/>
      <c r="AP10" s="11"/>
      <c r="AQ10" s="11"/>
      <c r="AY10" s="1"/>
    </row>
    <row r="11" spans="1:51" x14ac:dyDescent="0.25">
      <c r="B11" s="322">
        <v>30</v>
      </c>
      <c r="C11" s="328">
        <f>IF(B11&lt;$B$16,B11*$C$7,(B11-(B11-$B$16))*$C$7)</f>
        <v>0.6</v>
      </c>
      <c r="D11" s="15"/>
      <c r="E11" s="253">
        <f t="shared" si="0"/>
        <v>10</v>
      </c>
      <c r="F11" s="254">
        <f t="shared" si="1"/>
        <v>0.33333333333333331</v>
      </c>
      <c r="G11" s="260">
        <f>IF(E11&gt;0,$B$7/B11,100%)</f>
        <v>0.66666666666666663</v>
      </c>
      <c r="H11" s="234">
        <f t="shared" ref="H11:H37" si="9">G11+F11</f>
        <v>1</v>
      </c>
      <c r="I11" s="21"/>
      <c r="J11" s="360">
        <f>E11*$J$7</f>
        <v>0.2</v>
      </c>
      <c r="K11" s="232">
        <f>J11/E11</f>
        <v>0.02</v>
      </c>
      <c r="L11" s="21"/>
      <c r="M11" s="316">
        <f>F11*C11</f>
        <v>0.19999999999999998</v>
      </c>
      <c r="N11" s="296">
        <f>IF(AND(B11&lt;$B$16,M11&gt;0),M11/E11,M11/($B$7*G11))</f>
        <v>1.9999999999999997E-2</v>
      </c>
      <c r="O11" s="15"/>
      <c r="P11" s="264">
        <f>IF(C11&lt;$C$8,$B$7*$C$7,$C$8-F11)</f>
        <v>0.4</v>
      </c>
      <c r="Q11" s="334">
        <f t="shared" si="3"/>
        <v>0.02</v>
      </c>
      <c r="R11" s="282"/>
      <c r="S11" s="301">
        <f>C11*G11</f>
        <v>0.39999999999999997</v>
      </c>
      <c r="T11" s="267">
        <f t="shared" si="5"/>
        <v>1.9999999999999997E-2</v>
      </c>
      <c r="U11" s="150"/>
      <c r="V11" s="367">
        <f t="shared" si="7"/>
        <v>0.6</v>
      </c>
      <c r="W11" s="267">
        <f t="shared" si="8"/>
        <v>0.59999999999999987</v>
      </c>
      <c r="X11" s="150"/>
      <c r="Y11" s="183">
        <f>J11/E11</f>
        <v>0.02</v>
      </c>
      <c r="Z11" s="183">
        <f>M11/E11</f>
        <v>1.9999999999999997E-2</v>
      </c>
      <c r="AA11" s="122">
        <f>J11-M11</f>
        <v>0</v>
      </c>
      <c r="AB11" s="124">
        <f t="shared" si="6"/>
        <v>2.2204460492503131E-16</v>
      </c>
      <c r="AH11" s="22"/>
      <c r="AI11" s="22"/>
      <c r="AL11">
        <v>20.329999999999998</v>
      </c>
      <c r="AM11" s="4">
        <f>AL11/B11</f>
        <v>0.67766666666666664</v>
      </c>
      <c r="AN11" s="7">
        <f>AR11+AP11</f>
        <v>0</v>
      </c>
      <c r="AP11" s="4"/>
      <c r="AQ11" s="2">
        <f xml:space="preserve"> $E$7*M11</f>
        <v>6799.9999999999991</v>
      </c>
      <c r="AS11" s="5">
        <f>E7*M11</f>
        <v>6799.9999999999991</v>
      </c>
      <c r="AV11" s="5">
        <f>AL6*AW11</f>
        <v>4065.9999999999995</v>
      </c>
      <c r="AW11" s="4">
        <f>AL11*$AY$6</f>
        <v>0.40659999999999996</v>
      </c>
      <c r="AY11">
        <v>30</v>
      </c>
    </row>
    <row r="12" spans="1:51" x14ac:dyDescent="0.25">
      <c r="B12" s="329">
        <f>B11+1</f>
        <v>31</v>
      </c>
      <c r="C12" s="328">
        <f>IF(B12&lt;$B$16,B12*$C$7,(B12-(B12-$B$16))*$C$7)</f>
        <v>0.62</v>
      </c>
      <c r="D12" s="15"/>
      <c r="E12" s="253">
        <f t="shared" si="0"/>
        <v>11</v>
      </c>
      <c r="F12" s="254">
        <f t="shared" si="1"/>
        <v>0.35483870967741937</v>
      </c>
      <c r="G12" s="260">
        <f>IF(E12&gt;0,$B$7/B12,100%)</f>
        <v>0.64516129032258063</v>
      </c>
      <c r="H12" s="234">
        <f t="shared" si="9"/>
        <v>1</v>
      </c>
      <c r="I12" s="21"/>
      <c r="J12" s="360">
        <f>E12*$J$7</f>
        <v>0.22</v>
      </c>
      <c r="K12" s="232">
        <f>J12/E12</f>
        <v>0.02</v>
      </c>
      <c r="L12" s="21"/>
      <c r="M12" s="316">
        <f>F12*C12</f>
        <v>0.22</v>
      </c>
      <c r="N12" s="296">
        <f>IF(AND(B12&lt;$B$16,M12&gt;0),M12/E12,M12/($B$7*G12))</f>
        <v>0.02</v>
      </c>
      <c r="O12" s="15"/>
      <c r="P12" s="264">
        <f>IF(C12&lt;$C$8,$B$7*$C$7,$C$8-F12)</f>
        <v>0.4</v>
      </c>
      <c r="Q12" s="334">
        <f t="shared" si="3"/>
        <v>0.02</v>
      </c>
      <c r="R12" s="282"/>
      <c r="S12" s="301">
        <f>C12*G12</f>
        <v>0.39999999999999997</v>
      </c>
      <c r="T12" s="267">
        <f t="shared" si="5"/>
        <v>1.9999999999999997E-2</v>
      </c>
      <c r="U12" s="150"/>
      <c r="V12" s="367">
        <f t="shared" si="7"/>
        <v>0.62</v>
      </c>
      <c r="W12" s="267">
        <f t="shared" si="8"/>
        <v>0.61999999999999988</v>
      </c>
      <c r="X12" s="150"/>
      <c r="Y12" s="183">
        <f>J12/E12</f>
        <v>0.02</v>
      </c>
      <c r="Z12" s="183">
        <f>M12/E12</f>
        <v>0.02</v>
      </c>
      <c r="AA12" s="122">
        <f>J12-M12</f>
        <v>0</v>
      </c>
      <c r="AB12" s="124">
        <f t="shared" si="6"/>
        <v>0</v>
      </c>
      <c r="AH12" s="22"/>
      <c r="AI12" s="22"/>
      <c r="AL12">
        <f>+$AL$11</f>
        <v>20.329999999999998</v>
      </c>
      <c r="AM12" s="4">
        <f>AL12/B12</f>
        <v>0.65580645161290319</v>
      </c>
      <c r="AN12" s="7">
        <f>AR12+AP12</f>
        <v>2.0000000000000018E-2</v>
      </c>
      <c r="AP12" s="4">
        <f>M12-M11</f>
        <v>2.0000000000000018E-2</v>
      </c>
      <c r="AQ12" s="2">
        <f xml:space="preserve"> $E$7*M12</f>
        <v>7480</v>
      </c>
      <c r="AT12" s="4">
        <f>E12*$AY$6</f>
        <v>0.22</v>
      </c>
      <c r="AV12" s="5">
        <f t="shared" ref="AV12:AV14" si="10">AW11*AW12</f>
        <v>0.16532355999999998</v>
      </c>
      <c r="AW12" s="4">
        <f>AL12*$AY$6</f>
        <v>0.40659999999999996</v>
      </c>
      <c r="AY12">
        <v>31</v>
      </c>
    </row>
    <row r="13" spans="1:51" x14ac:dyDescent="0.25">
      <c r="B13" s="329">
        <f t="shared" ref="B13:B15" si="11">B12+1</f>
        <v>32</v>
      </c>
      <c r="C13" s="328">
        <f>IF(B13&lt;$B$16,B13*$C$7,(B13-(B13-$B$16))*$C$7)</f>
        <v>0.64</v>
      </c>
      <c r="D13" s="15"/>
      <c r="E13" s="253">
        <f t="shared" si="0"/>
        <v>12</v>
      </c>
      <c r="F13" s="254">
        <f t="shared" si="1"/>
        <v>0.375</v>
      </c>
      <c r="G13" s="260">
        <f>IF(E13&gt;0,$B$7/B13,100%)</f>
        <v>0.625</v>
      </c>
      <c r="H13" s="234">
        <f t="shared" si="9"/>
        <v>1</v>
      </c>
      <c r="I13" s="21"/>
      <c r="J13" s="242">
        <f>E13*$J$7</f>
        <v>0.24</v>
      </c>
      <c r="K13" s="232">
        <f>J13/E13</f>
        <v>0.02</v>
      </c>
      <c r="L13" s="21"/>
      <c r="M13" s="316">
        <f t="shared" si="2"/>
        <v>0.24</v>
      </c>
      <c r="N13" s="296">
        <f>IF(AND(B13&lt;$B$16,M13&gt;0),M13/E13,M13/($B$7*G13))</f>
        <v>0.02</v>
      </c>
      <c r="O13" s="15"/>
      <c r="P13" s="264">
        <f t="shared" ref="P13:P15" si="12">IF(C13&lt;$C$8,$B$7*$C$7,$C$8-F13)</f>
        <v>0.4</v>
      </c>
      <c r="Q13" s="340">
        <f t="shared" si="3"/>
        <v>0.02</v>
      </c>
      <c r="R13" s="282"/>
      <c r="S13" s="301">
        <f t="shared" si="4"/>
        <v>0.4</v>
      </c>
      <c r="T13" s="267">
        <f t="shared" si="5"/>
        <v>0.02</v>
      </c>
      <c r="U13" s="150"/>
      <c r="V13" s="367">
        <f t="shared" si="7"/>
        <v>0.64</v>
      </c>
      <c r="W13" s="267">
        <f t="shared" si="8"/>
        <v>0.64</v>
      </c>
      <c r="X13" s="150"/>
      <c r="Y13" s="183">
        <f>J13/E13</f>
        <v>0.02</v>
      </c>
      <c r="Z13" s="183">
        <f>M13/E13</f>
        <v>0.02</v>
      </c>
      <c r="AA13" s="122">
        <f>J13-M13</f>
        <v>0</v>
      </c>
      <c r="AB13" s="124">
        <f t="shared" si="6"/>
        <v>0</v>
      </c>
      <c r="AH13" s="22"/>
      <c r="AI13" s="22"/>
      <c r="AL13">
        <f>+$AL$11</f>
        <v>20.329999999999998</v>
      </c>
      <c r="AM13" s="4">
        <f>AL13/B13</f>
        <v>0.63531249999999995</v>
      </c>
      <c r="AN13" s="7">
        <f>AR13+AP13</f>
        <v>1.999999999999999E-2</v>
      </c>
      <c r="AP13" s="4">
        <f>M13-M12</f>
        <v>1.999999999999999E-2</v>
      </c>
      <c r="AQ13" s="2">
        <f xml:space="preserve"> $E$7*M13</f>
        <v>8160</v>
      </c>
      <c r="AT13" s="4">
        <f>E13*$AY$6</f>
        <v>0.24</v>
      </c>
      <c r="AV13" s="5">
        <f t="shared" si="10"/>
        <v>0.16532355999999998</v>
      </c>
      <c r="AW13" s="4">
        <f>AL13*$AY$6</f>
        <v>0.40659999999999996</v>
      </c>
      <c r="AY13">
        <v>35</v>
      </c>
    </row>
    <row r="14" spans="1:51" x14ac:dyDescent="0.25">
      <c r="B14" s="329">
        <f t="shared" si="11"/>
        <v>33</v>
      </c>
      <c r="C14" s="328">
        <f>IF(B14&lt;$B$16,B14*$C$7,(B14-(B14-$B$16))*$C$7)</f>
        <v>0.66</v>
      </c>
      <c r="D14" s="15"/>
      <c r="E14" s="253">
        <f t="shared" si="0"/>
        <v>13</v>
      </c>
      <c r="F14" s="254">
        <f t="shared" si="1"/>
        <v>0.39393939393939392</v>
      </c>
      <c r="G14" s="260">
        <f>IF(E14&gt;0,$B$7/B14,100%)</f>
        <v>0.60606060606060608</v>
      </c>
      <c r="H14" s="234">
        <f t="shared" si="9"/>
        <v>1</v>
      </c>
      <c r="I14" s="21"/>
      <c r="J14" s="242">
        <f>E14*$J$7</f>
        <v>0.26</v>
      </c>
      <c r="K14" s="232">
        <f>J14/E14</f>
        <v>0.02</v>
      </c>
      <c r="L14" s="21"/>
      <c r="M14" s="316">
        <f t="shared" si="2"/>
        <v>0.26</v>
      </c>
      <c r="N14" s="296">
        <f>IF(AND(B14&lt;$B$16,M14&gt;0),M14/E14,M14/($B$7*G14))</f>
        <v>0.02</v>
      </c>
      <c r="O14" s="15"/>
      <c r="P14" s="264">
        <f t="shared" si="12"/>
        <v>0.4</v>
      </c>
      <c r="Q14" s="334">
        <f t="shared" si="3"/>
        <v>0.02</v>
      </c>
      <c r="R14" s="282"/>
      <c r="S14" s="301">
        <f t="shared" si="4"/>
        <v>0.4</v>
      </c>
      <c r="T14" s="267">
        <f t="shared" si="5"/>
        <v>0.02</v>
      </c>
      <c r="U14" s="150"/>
      <c r="V14" s="367">
        <f t="shared" si="7"/>
        <v>0.66</v>
      </c>
      <c r="W14" s="267">
        <f t="shared" ref="W14:W37" si="13">S14+M14</f>
        <v>0.66</v>
      </c>
      <c r="X14" s="150"/>
      <c r="Y14" s="183">
        <f>J14/E14</f>
        <v>0.02</v>
      </c>
      <c r="Z14" s="183">
        <f>M14/E14</f>
        <v>0.02</v>
      </c>
      <c r="AA14" s="122">
        <f>J14-M14</f>
        <v>0</v>
      </c>
      <c r="AB14" s="124">
        <f t="shared" si="6"/>
        <v>0</v>
      </c>
      <c r="AH14" s="23"/>
      <c r="AI14" s="23"/>
      <c r="AL14">
        <f>+$AL$11</f>
        <v>20.329999999999998</v>
      </c>
      <c r="AM14" s="4">
        <f>AL14/B14</f>
        <v>0.61606060606060598</v>
      </c>
      <c r="AN14" s="7">
        <f>AR14+AP14</f>
        <v>2.0000000000000018E-2</v>
      </c>
      <c r="AP14" s="4">
        <f>M14-M13</f>
        <v>2.0000000000000018E-2</v>
      </c>
      <c r="AQ14" s="2">
        <f xml:space="preserve"> $E$7*M14</f>
        <v>8840</v>
      </c>
      <c r="AT14" s="4">
        <f>E14*$AY$6</f>
        <v>0.26</v>
      </c>
      <c r="AV14" s="5">
        <f t="shared" si="10"/>
        <v>0.16532355999999998</v>
      </c>
      <c r="AW14" s="4">
        <f>AL14*$AY$6</f>
        <v>0.40659999999999996</v>
      </c>
      <c r="AY14">
        <v>36</v>
      </c>
    </row>
    <row r="15" spans="1:51" ht="14.4" thickBot="1" x14ac:dyDescent="0.3">
      <c r="B15" s="347">
        <f t="shared" si="11"/>
        <v>34</v>
      </c>
      <c r="C15" s="349">
        <f>IF(B15&lt;$B$16,B15*$C$7,(B15-(B15-$B$16))*$C$7)</f>
        <v>0.68</v>
      </c>
      <c r="D15" s="15"/>
      <c r="E15" s="253">
        <f t="shared" si="0"/>
        <v>14</v>
      </c>
      <c r="F15" s="254">
        <f t="shared" si="1"/>
        <v>0.41176470588235292</v>
      </c>
      <c r="G15" s="260">
        <f>IF(E15&gt;0,$B$7/B15,100%)</f>
        <v>0.58823529411764708</v>
      </c>
      <c r="H15" s="234">
        <f t="shared" si="9"/>
        <v>1</v>
      </c>
      <c r="I15" s="21"/>
      <c r="J15" s="242">
        <f>E15*$J$7</f>
        <v>0.28000000000000003</v>
      </c>
      <c r="K15" s="232">
        <f>J15/E15</f>
        <v>0.02</v>
      </c>
      <c r="L15" s="21"/>
      <c r="M15" s="316">
        <f t="shared" si="2"/>
        <v>0.28000000000000003</v>
      </c>
      <c r="N15" s="296">
        <f>IF(AND(B15&lt;$B$16,M15&gt;0),M15/E15,M15/($B$7*G15))</f>
        <v>0.02</v>
      </c>
      <c r="O15" s="15"/>
      <c r="P15" s="264">
        <f t="shared" si="12"/>
        <v>0.4</v>
      </c>
      <c r="Q15" s="334">
        <f t="shared" si="3"/>
        <v>0.02</v>
      </c>
      <c r="R15" s="282"/>
      <c r="S15" s="301">
        <f t="shared" si="4"/>
        <v>0.4</v>
      </c>
      <c r="T15" s="267">
        <f t="shared" si="5"/>
        <v>0.02</v>
      </c>
      <c r="U15" s="150"/>
      <c r="V15" s="367">
        <f t="shared" si="7"/>
        <v>0.68</v>
      </c>
      <c r="W15" s="267">
        <f t="shared" si="13"/>
        <v>0.68</v>
      </c>
      <c r="X15" s="150"/>
      <c r="Y15" s="183">
        <f>J15/E15</f>
        <v>0.02</v>
      </c>
      <c r="Z15" s="183">
        <f>M15/E15</f>
        <v>0.02</v>
      </c>
      <c r="AA15" s="122">
        <f>J15-M15</f>
        <v>0</v>
      </c>
      <c r="AB15" s="124">
        <f t="shared" si="6"/>
        <v>0</v>
      </c>
      <c r="AH15" s="22"/>
      <c r="AI15" s="22"/>
      <c r="AJ15" s="71"/>
      <c r="AL15">
        <f>+$AL$11</f>
        <v>20.329999999999998</v>
      </c>
      <c r="AM15" s="4">
        <f>AL15/B15</f>
        <v>0.5979411764705882</v>
      </c>
      <c r="AN15" s="7">
        <f>AR15+AP15</f>
        <v>2.0000000000000018E-2</v>
      </c>
      <c r="AP15" s="4">
        <f>M15-M14</f>
        <v>2.0000000000000018E-2</v>
      </c>
      <c r="AQ15" s="2">
        <f xml:space="preserve"> $E$7*M15</f>
        <v>9520</v>
      </c>
      <c r="AT15" s="4">
        <f>E15*$AY$6</f>
        <v>0.28000000000000003</v>
      </c>
      <c r="AW15" s="4">
        <f>AL15*$AY$6</f>
        <v>0.40659999999999996</v>
      </c>
      <c r="AY15">
        <v>38</v>
      </c>
    </row>
    <row r="16" spans="1:51" ht="14.4" thickBot="1" x14ac:dyDescent="0.3">
      <c r="B16" s="368">
        <f>B15+1</f>
        <v>35</v>
      </c>
      <c r="C16" s="369">
        <f>IF(B16&lt;$B$16,B16*$C$7,(B16-(B16-$B$16))*$C$7)</f>
        <v>0.70000000000000007</v>
      </c>
      <c r="D16" s="32"/>
      <c r="E16" s="363">
        <f t="shared" si="0"/>
        <v>15</v>
      </c>
      <c r="F16" s="371">
        <f t="shared" si="1"/>
        <v>0.42857142857142855</v>
      </c>
      <c r="G16" s="337">
        <f>IF(E16&gt;0,$B$7/B16,100%)</f>
        <v>0.5714285714285714</v>
      </c>
      <c r="H16" s="337">
        <f t="shared" si="9"/>
        <v>1</v>
      </c>
      <c r="I16" s="49"/>
      <c r="J16" s="335">
        <f>E16*$J$7</f>
        <v>0.3</v>
      </c>
      <c r="K16" s="362">
        <f>J16/E16</f>
        <v>0.02</v>
      </c>
      <c r="L16" s="21"/>
      <c r="M16" s="289">
        <f t="shared" si="2"/>
        <v>0.3</v>
      </c>
      <c r="N16" s="289">
        <f>IF(B16&lt;$B$16,M16/E16,M16/E16)</f>
        <v>0.02</v>
      </c>
      <c r="O16" s="282">
        <f>IF(C16&lt;$B$16,N16/F16,N16/($B$7*H16))</f>
        <v>4.6666666666666669E-2</v>
      </c>
      <c r="P16" s="338">
        <f>IF(C16&lt;$C$8,$B$7*$C$7, C16-J16)</f>
        <v>0.40000000000000008</v>
      </c>
      <c r="Q16" s="341">
        <f>(C11-P11)/E11</f>
        <v>1.9999999999999997E-2</v>
      </c>
      <c r="R16" s="310"/>
      <c r="S16" s="289">
        <f t="shared" si="4"/>
        <v>0.4</v>
      </c>
      <c r="T16" s="289">
        <f t="shared" si="5"/>
        <v>0.02</v>
      </c>
      <c r="U16" s="353"/>
      <c r="V16" s="367">
        <f t="shared" si="7"/>
        <v>0.69999999999999984</v>
      </c>
      <c r="W16" s="267">
        <f t="shared" si="13"/>
        <v>0.7</v>
      </c>
      <c r="X16" s="353"/>
      <c r="Y16" s="184">
        <f>J16/E16</f>
        <v>0.02</v>
      </c>
      <c r="Z16" s="184">
        <f>M16/E16</f>
        <v>0.02</v>
      </c>
      <c r="AA16" s="127">
        <f>J16-M16</f>
        <v>0</v>
      </c>
      <c r="AB16" s="125">
        <f t="shared" si="6"/>
        <v>0</v>
      </c>
      <c r="AH16" s="212"/>
      <c r="AI16" s="22"/>
      <c r="AJ16" s="71"/>
      <c r="AL16">
        <f>+$AL$11</f>
        <v>20.329999999999998</v>
      </c>
      <c r="AM16" s="4"/>
      <c r="AN16" s="7"/>
      <c r="AP16" s="4"/>
      <c r="AQ16" s="2"/>
      <c r="AT16" s="4"/>
      <c r="AW16" s="4"/>
    </row>
    <row r="17" spans="2:51" ht="14.4" thickBot="1" x14ac:dyDescent="0.3">
      <c r="B17" s="368">
        <f>B16+0.33</f>
        <v>35.33</v>
      </c>
      <c r="C17" s="369">
        <f>IF(B17&lt;$B$16,B17*$C$7,(B17-(B17-$B$16))*$C$7)</f>
        <v>0.70000000000000007</v>
      </c>
      <c r="D17" s="32"/>
      <c r="E17" s="363">
        <f t="shared" ref="E17" si="14">IF(B17&gt;$B$7,B17-$B$7,0)</f>
        <v>15.329999999999998</v>
      </c>
      <c r="F17" s="371">
        <f t="shared" ref="F17" si="15">E17/B17</f>
        <v>0.43390885932635154</v>
      </c>
      <c r="G17" s="337">
        <f>IF(E17&gt;0,$B$7/B17,100%)</f>
        <v>0.56609114067364852</v>
      </c>
      <c r="H17" s="337">
        <f t="shared" ref="H17" si="16">G17+F17</f>
        <v>1</v>
      </c>
      <c r="I17" s="49"/>
      <c r="J17" s="335">
        <f>E17*$J$7</f>
        <v>0.30659999999999998</v>
      </c>
      <c r="K17" s="362">
        <f>J17/E17</f>
        <v>0.02</v>
      </c>
      <c r="L17" s="21"/>
      <c r="M17" s="289">
        <f t="shared" ref="M17" si="17">F17*C17</f>
        <v>0.3037362015284461</v>
      </c>
      <c r="N17" s="342">
        <f>IF(B17&lt;$B$16,M17/E17,M17/E17)</f>
        <v>1.9813189923577699E-2</v>
      </c>
      <c r="O17" s="282">
        <f>IF(C17&lt;$B$16,N17/F17,N17/($B$7*H17))</f>
        <v>4.5662100456621009E-2</v>
      </c>
      <c r="P17" s="338">
        <f>IF(C17&lt;$C$8,$B$7*$C$7, C17-J17)</f>
        <v>0.39340000000000008</v>
      </c>
      <c r="Q17" s="341">
        <f>(C12-P12)/E12</f>
        <v>1.9999999999999997E-2</v>
      </c>
      <c r="R17" s="310"/>
      <c r="S17" s="289">
        <f t="shared" ref="S17" si="18">C17*G17</f>
        <v>0.39626379847155402</v>
      </c>
      <c r="T17" s="289">
        <f t="shared" si="5"/>
        <v>1.9813189923577702E-2</v>
      </c>
      <c r="U17" s="353"/>
      <c r="V17" s="367">
        <f t="shared" ref="V17" si="19">Q17*B17</f>
        <v>0.70659999999999989</v>
      </c>
      <c r="W17" s="267">
        <f t="shared" ref="W17" si="20">S17+M17</f>
        <v>0.70000000000000018</v>
      </c>
      <c r="X17" s="150"/>
      <c r="Y17" s="184"/>
      <c r="Z17" s="184"/>
      <c r="AA17" s="127"/>
      <c r="AB17" s="125"/>
      <c r="AH17" s="212"/>
      <c r="AI17" s="22"/>
      <c r="AJ17" s="71"/>
      <c r="AM17" s="4"/>
      <c r="AN17" s="7"/>
      <c r="AP17" s="4"/>
      <c r="AQ17" s="2"/>
      <c r="AT17" s="4"/>
      <c r="AW17" s="4"/>
    </row>
    <row r="18" spans="2:51" x14ac:dyDescent="0.25">
      <c r="B18" s="348">
        <f>B16+1</f>
        <v>36</v>
      </c>
      <c r="C18" s="350">
        <f>IF(B18&lt;$B$16,B18*#REF!,(B18-(B18-$B$16))*$C$7)</f>
        <v>0.70000000000000007</v>
      </c>
      <c r="D18" s="29"/>
      <c r="E18" s="253">
        <f t="shared" si="0"/>
        <v>16</v>
      </c>
      <c r="F18" s="256">
        <f t="shared" ref="F18:F37" si="21">E18/B18</f>
        <v>0.44444444444444442</v>
      </c>
      <c r="G18" s="261">
        <f t="shared" ref="G18:G24" si="22">IF(E18&gt;0,$B$7/B18,100%)</f>
        <v>0.55555555555555558</v>
      </c>
      <c r="H18" s="234">
        <f t="shared" si="9"/>
        <v>1</v>
      </c>
      <c r="I18" s="20"/>
      <c r="J18" s="242">
        <f>E18*$J$7</f>
        <v>0.32</v>
      </c>
      <c r="K18" s="232">
        <f>J18/E18</f>
        <v>0.02</v>
      </c>
      <c r="L18" s="21"/>
      <c r="M18" s="317">
        <f t="shared" ref="M18:M19" si="23">E18/B18*C18</f>
        <v>0.31111111111111112</v>
      </c>
      <c r="N18" s="342">
        <f t="shared" ref="N18:N37" si="24">IF(B18&lt;$B$16,M18/E18,M18/E18)</f>
        <v>1.9444444444444445E-2</v>
      </c>
      <c r="O18" s="25"/>
      <c r="P18" s="264">
        <f t="shared" ref="P18:P37" si="25">IF(C18&lt;$C$8,$B$7*$C$7, C18-J18)</f>
        <v>0.38000000000000006</v>
      </c>
      <c r="Q18" s="340">
        <f>(C13-P13)/E13</f>
        <v>0.02</v>
      </c>
      <c r="R18" s="150"/>
      <c r="S18" s="301">
        <f t="shared" ref="S18:S37" si="26">C18*G18</f>
        <v>0.38888888888888895</v>
      </c>
      <c r="T18" s="345">
        <f t="shared" si="5"/>
        <v>1.9444444444444448E-2</v>
      </c>
      <c r="U18" s="354"/>
      <c r="V18" s="367">
        <f t="shared" si="7"/>
        <v>0.72</v>
      </c>
      <c r="W18" s="267">
        <f t="shared" si="13"/>
        <v>0.70000000000000007</v>
      </c>
      <c r="X18" s="354"/>
      <c r="Y18" s="183">
        <f>J18/E18</f>
        <v>0.02</v>
      </c>
      <c r="Z18" s="185">
        <f>M18/E18</f>
        <v>1.9444444444444445E-2</v>
      </c>
      <c r="AA18" s="162">
        <f>-J18+M18</f>
        <v>-8.8888888888888906E-3</v>
      </c>
      <c r="AB18" s="165">
        <f t="shared" ref="AB18:AB37" si="27">((Z18/$C$7)-1)</f>
        <v>-2.777777777777779E-2</v>
      </c>
      <c r="AH18" s="24"/>
      <c r="AI18" s="24"/>
      <c r="AL18">
        <f>+$AL$11</f>
        <v>20.329999999999998</v>
      </c>
      <c r="AM18" s="4">
        <f>AL18/B18</f>
        <v>0.56472222222222213</v>
      </c>
      <c r="AN18" s="7">
        <f t="shared" ref="AN18:AN25" si="28">AR18+AP18</f>
        <v>0</v>
      </c>
      <c r="AP18" s="4"/>
      <c r="AQ18" s="2">
        <f xml:space="preserve"> $E$7*M18</f>
        <v>10577.777777777777</v>
      </c>
      <c r="AT18" s="4">
        <f>E18*$AY$6</f>
        <v>0.32</v>
      </c>
      <c r="AW18" s="4">
        <f>AL18*$AY$6</f>
        <v>0.40659999999999996</v>
      </c>
      <c r="AY18">
        <v>42.33</v>
      </c>
    </row>
    <row r="19" spans="2:51" x14ac:dyDescent="0.25">
      <c r="B19" s="329">
        <f t="shared" ref="B19:B23" si="29">B18+1</f>
        <v>37</v>
      </c>
      <c r="C19" s="328">
        <f>IF(B19&lt;$B$16,B19*J8,(B19-(B19-$B$16))*$C$7)</f>
        <v>0.70000000000000007</v>
      </c>
      <c r="D19" s="29"/>
      <c r="E19" s="253">
        <f t="shared" si="0"/>
        <v>17</v>
      </c>
      <c r="F19" s="256">
        <f t="shared" si="21"/>
        <v>0.45945945945945948</v>
      </c>
      <c r="G19" s="261">
        <f t="shared" si="22"/>
        <v>0.54054054054054057</v>
      </c>
      <c r="H19" s="234">
        <f t="shared" si="9"/>
        <v>1</v>
      </c>
      <c r="I19" s="20"/>
      <c r="J19" s="242">
        <f>E19*$J$7</f>
        <v>0.34</v>
      </c>
      <c r="K19" s="232">
        <f>J19/E19</f>
        <v>0.02</v>
      </c>
      <c r="L19" s="21"/>
      <c r="M19" s="317">
        <f t="shared" si="23"/>
        <v>0.32162162162162167</v>
      </c>
      <c r="N19" s="342">
        <f t="shared" si="24"/>
        <v>1.891891891891892E-2</v>
      </c>
      <c r="O19" s="15"/>
      <c r="P19" s="264">
        <f t="shared" si="25"/>
        <v>0.36000000000000004</v>
      </c>
      <c r="Q19" s="340">
        <f>(C14-P14)/E14</f>
        <v>0.02</v>
      </c>
      <c r="R19" s="282"/>
      <c r="S19" s="301">
        <f t="shared" si="26"/>
        <v>0.37837837837837845</v>
      </c>
      <c r="T19" s="345">
        <f t="shared" si="5"/>
        <v>1.8918918918918923E-2</v>
      </c>
      <c r="U19" s="354"/>
      <c r="V19" s="367">
        <f t="shared" si="7"/>
        <v>0.74</v>
      </c>
      <c r="W19" s="267">
        <f t="shared" si="13"/>
        <v>0.70000000000000018</v>
      </c>
      <c r="X19" s="354"/>
      <c r="Y19" s="183">
        <f>J19/E19</f>
        <v>0.02</v>
      </c>
      <c r="Z19" s="185">
        <f>M19/E19</f>
        <v>1.891891891891892E-2</v>
      </c>
      <c r="AA19" s="162">
        <f>-J19+M19</f>
        <v>-1.8378378378378357E-2</v>
      </c>
      <c r="AB19" s="165">
        <f t="shared" si="27"/>
        <v>-5.4054054054054057E-2</v>
      </c>
      <c r="AH19" s="24"/>
      <c r="AI19" s="24"/>
      <c r="AL19">
        <f>+$AL$11</f>
        <v>20.329999999999998</v>
      </c>
      <c r="AM19" s="4">
        <f>AL19/B19</f>
        <v>0.5494594594594594</v>
      </c>
      <c r="AN19" s="7">
        <f t="shared" si="28"/>
        <v>0</v>
      </c>
      <c r="AP19" s="4"/>
      <c r="AQ19" s="2">
        <f xml:space="preserve"> $E$7*M19</f>
        <v>10935.135135135137</v>
      </c>
      <c r="AT19" s="4">
        <f>E19*$AY$6</f>
        <v>0.34</v>
      </c>
    </row>
    <row r="20" spans="2:51" x14ac:dyDescent="0.25">
      <c r="B20" s="329">
        <f t="shared" si="29"/>
        <v>38</v>
      </c>
      <c r="C20" s="328">
        <f>IF(B20&lt;$B$16,B20*J9,(B20-(B20-$B$16))*$C$7)</f>
        <v>0.70000000000000007</v>
      </c>
      <c r="D20" s="29"/>
      <c r="E20" s="253">
        <f t="shared" si="0"/>
        <v>18</v>
      </c>
      <c r="F20" s="254">
        <f t="shared" si="21"/>
        <v>0.47368421052631576</v>
      </c>
      <c r="G20" s="261">
        <f t="shared" si="22"/>
        <v>0.52631578947368418</v>
      </c>
      <c r="H20" s="234">
        <f t="shared" si="9"/>
        <v>1</v>
      </c>
      <c r="I20" s="21"/>
      <c r="J20" s="242">
        <f>E20*$J$7</f>
        <v>0.36</v>
      </c>
      <c r="K20" s="232">
        <f>J20/E20</f>
        <v>0.02</v>
      </c>
      <c r="L20" s="21"/>
      <c r="M20" s="316">
        <f>F20*C20</f>
        <v>0.33157894736842108</v>
      </c>
      <c r="N20" s="342">
        <f t="shared" si="24"/>
        <v>1.8421052631578949E-2</v>
      </c>
      <c r="O20" s="15"/>
      <c r="P20" s="264">
        <f t="shared" si="25"/>
        <v>0.34000000000000008</v>
      </c>
      <c r="Q20" s="340">
        <f>(C15-P15)/E15</f>
        <v>0.02</v>
      </c>
      <c r="R20" s="282"/>
      <c r="S20" s="301">
        <f t="shared" si="26"/>
        <v>0.36842105263157898</v>
      </c>
      <c r="T20" s="345">
        <f t="shared" si="5"/>
        <v>1.8421052631578949E-2</v>
      </c>
      <c r="U20" s="354"/>
      <c r="V20" s="367">
        <f t="shared" si="7"/>
        <v>0.76</v>
      </c>
      <c r="W20" s="267">
        <f t="shared" si="13"/>
        <v>0.70000000000000007</v>
      </c>
      <c r="X20" s="354"/>
      <c r="Y20" s="183">
        <f>J20/E20</f>
        <v>0.02</v>
      </c>
      <c r="Z20" s="185">
        <f>M20/E20</f>
        <v>1.8421052631578949E-2</v>
      </c>
      <c r="AA20" s="162">
        <f>-J20+M20</f>
        <v>-2.8421052631578902E-2</v>
      </c>
      <c r="AB20" s="165">
        <f t="shared" si="27"/>
        <v>-7.8947368421052544E-2</v>
      </c>
      <c r="AH20" s="24"/>
      <c r="AI20" s="24"/>
      <c r="AL20">
        <f>+$AL$11</f>
        <v>20.329999999999998</v>
      </c>
      <c r="AM20" s="4">
        <f>AL20/B20</f>
        <v>0.53499999999999992</v>
      </c>
      <c r="AN20" s="7">
        <f t="shared" si="28"/>
        <v>0</v>
      </c>
      <c r="AP20" s="4"/>
      <c r="AQ20" s="2">
        <f xml:space="preserve"> $E$7*M20</f>
        <v>11273.684210526317</v>
      </c>
      <c r="AT20" s="4">
        <f>E20*$AY$6</f>
        <v>0.36</v>
      </c>
    </row>
    <row r="21" spans="2:51" x14ac:dyDescent="0.25">
      <c r="B21" s="329">
        <f t="shared" si="29"/>
        <v>39</v>
      </c>
      <c r="C21" s="328">
        <f>IF(B21&lt;$B$16,B21*J11,(B21-(B21-$B$16))*$C$7)</f>
        <v>0.70000000000000007</v>
      </c>
      <c r="D21" s="29"/>
      <c r="E21" s="253">
        <f t="shared" si="0"/>
        <v>19</v>
      </c>
      <c r="F21" s="254">
        <f t="shared" si="21"/>
        <v>0.48717948717948717</v>
      </c>
      <c r="G21" s="261">
        <f t="shared" si="22"/>
        <v>0.51282051282051277</v>
      </c>
      <c r="H21" s="234">
        <f t="shared" si="9"/>
        <v>1</v>
      </c>
      <c r="I21" s="21"/>
      <c r="J21" s="242">
        <f>E21*$J$7</f>
        <v>0.38</v>
      </c>
      <c r="K21" s="232">
        <f>J21/E21</f>
        <v>0.02</v>
      </c>
      <c r="L21" s="21"/>
      <c r="M21" s="316">
        <f>F21*C21</f>
        <v>0.34102564102564104</v>
      </c>
      <c r="N21" s="342">
        <f t="shared" si="24"/>
        <v>1.7948717948717951E-2</v>
      </c>
      <c r="O21" s="15"/>
      <c r="P21" s="264">
        <f t="shared" si="25"/>
        <v>0.32000000000000006</v>
      </c>
      <c r="Q21" s="340">
        <f>(C16-P16)/E16</f>
        <v>0.02</v>
      </c>
      <c r="R21" s="282"/>
      <c r="S21" s="301">
        <f t="shared" si="26"/>
        <v>0.35897435897435898</v>
      </c>
      <c r="T21" s="345">
        <f t="shared" si="5"/>
        <v>1.7948717948717947E-2</v>
      </c>
      <c r="U21" s="354"/>
      <c r="V21" s="367">
        <f t="shared" si="7"/>
        <v>0.78</v>
      </c>
      <c r="W21" s="267">
        <f t="shared" si="13"/>
        <v>0.7</v>
      </c>
      <c r="X21" s="354"/>
      <c r="Y21" s="184">
        <f>J21/E21</f>
        <v>0.02</v>
      </c>
      <c r="Z21" s="185">
        <f>M21/E21</f>
        <v>1.7948717948717951E-2</v>
      </c>
      <c r="AA21" s="162">
        <f>-J21+M21</f>
        <v>-3.8974358974358969E-2</v>
      </c>
      <c r="AB21" s="165">
        <f t="shared" si="27"/>
        <v>-0.10256410256410242</v>
      </c>
      <c r="AH21" s="24"/>
      <c r="AI21" s="24"/>
      <c r="AL21">
        <f>+$AL$11</f>
        <v>20.329999999999998</v>
      </c>
      <c r="AM21" s="4">
        <f>AL21/B21</f>
        <v>0.52128205128205118</v>
      </c>
      <c r="AN21" s="7">
        <f t="shared" si="28"/>
        <v>0</v>
      </c>
      <c r="AP21" s="4"/>
      <c r="AQ21" s="2">
        <f xml:space="preserve"> $E$7*M21</f>
        <v>11594.871794871795</v>
      </c>
      <c r="AT21" s="4">
        <f>E21*$AY$6</f>
        <v>0.38</v>
      </c>
    </row>
    <row r="22" spans="2:51" x14ac:dyDescent="0.25">
      <c r="B22" s="329">
        <f t="shared" si="29"/>
        <v>40</v>
      </c>
      <c r="C22" s="328">
        <f>IF(B22&lt;$B$16,B22*J12,(B22-(B22-$B$16))*$C$7)</f>
        <v>0.70000000000000007</v>
      </c>
      <c r="D22" s="29"/>
      <c r="E22" s="253">
        <f t="shared" si="0"/>
        <v>20</v>
      </c>
      <c r="F22" s="254">
        <f t="shared" si="21"/>
        <v>0.5</v>
      </c>
      <c r="G22" s="261">
        <f t="shared" si="22"/>
        <v>0.5</v>
      </c>
      <c r="H22" s="234">
        <f t="shared" si="9"/>
        <v>1</v>
      </c>
      <c r="I22" s="21"/>
      <c r="J22" s="242">
        <f>E22*$J$7</f>
        <v>0.4</v>
      </c>
      <c r="K22" s="232">
        <f>J22/E22</f>
        <v>0.02</v>
      </c>
      <c r="L22" s="21"/>
      <c r="M22" s="316">
        <f>F22*C22</f>
        <v>0.35000000000000003</v>
      </c>
      <c r="N22" s="342">
        <f t="shared" si="24"/>
        <v>1.7500000000000002E-2</v>
      </c>
      <c r="O22" s="15"/>
      <c r="P22" s="264">
        <f t="shared" si="25"/>
        <v>0.30000000000000004</v>
      </c>
      <c r="Q22" s="340" t="e">
        <f>(#REF!-#REF!)/#REF!</f>
        <v>#REF!</v>
      </c>
      <c r="R22" s="282"/>
      <c r="S22" s="301">
        <f t="shared" si="26"/>
        <v>0.35000000000000003</v>
      </c>
      <c r="T22" s="345">
        <f t="shared" si="5"/>
        <v>1.7500000000000002E-2</v>
      </c>
      <c r="U22" s="354"/>
      <c r="V22" s="367" t="e">
        <f t="shared" si="7"/>
        <v>#REF!</v>
      </c>
      <c r="W22" s="267">
        <f t="shared" si="13"/>
        <v>0.70000000000000007</v>
      </c>
      <c r="X22" s="354"/>
      <c r="Y22" s="183">
        <f>J22/E22</f>
        <v>0.02</v>
      </c>
      <c r="Z22" s="185">
        <f>M22/E22</f>
        <v>1.7500000000000002E-2</v>
      </c>
      <c r="AA22" s="162">
        <f>-J22+M22</f>
        <v>-4.9999999999999989E-2</v>
      </c>
      <c r="AB22" s="165">
        <f t="shared" si="27"/>
        <v>-0.12499999999999989</v>
      </c>
      <c r="AH22" s="24"/>
      <c r="AI22" s="24"/>
      <c r="AL22">
        <f>+$AL$11</f>
        <v>20.329999999999998</v>
      </c>
      <c r="AM22" s="4">
        <f>AL22/B22</f>
        <v>0.50824999999999998</v>
      </c>
      <c r="AN22" s="7">
        <f t="shared" si="28"/>
        <v>0</v>
      </c>
      <c r="AP22" s="4"/>
      <c r="AQ22" s="2">
        <f xml:space="preserve"> $E$7*M22</f>
        <v>11900.000000000002</v>
      </c>
      <c r="AT22" s="4">
        <f>E22*$AY$6</f>
        <v>0.4</v>
      </c>
    </row>
    <row r="23" spans="2:51" x14ac:dyDescent="0.25">
      <c r="B23" s="329">
        <f t="shared" si="29"/>
        <v>41</v>
      </c>
      <c r="C23" s="328">
        <f>IF(B23&lt;$B$16,B23*J13,(B23-(B23-$B$16))*$C$7)</f>
        <v>0.70000000000000007</v>
      </c>
      <c r="D23" s="29"/>
      <c r="E23" s="253">
        <f t="shared" si="0"/>
        <v>21</v>
      </c>
      <c r="F23" s="254">
        <f t="shared" si="21"/>
        <v>0.51219512195121952</v>
      </c>
      <c r="G23" s="261">
        <f t="shared" si="22"/>
        <v>0.48780487804878048</v>
      </c>
      <c r="H23" s="234">
        <f t="shared" si="9"/>
        <v>1</v>
      </c>
      <c r="I23" s="21"/>
      <c r="J23" s="242">
        <f>E23*$J$7</f>
        <v>0.42</v>
      </c>
      <c r="K23" s="232">
        <f>J23/E23</f>
        <v>0.02</v>
      </c>
      <c r="L23" s="21"/>
      <c r="M23" s="316">
        <f>F23*C23</f>
        <v>0.3585365853658537</v>
      </c>
      <c r="N23" s="342">
        <f t="shared" si="24"/>
        <v>1.7073170731707318E-2</v>
      </c>
      <c r="O23" s="15"/>
      <c r="P23" s="264">
        <f t="shared" si="25"/>
        <v>0.28000000000000008</v>
      </c>
      <c r="Q23" s="340">
        <f t="shared" ref="Q23:Q33" si="30">(C18-P18)/E18</f>
        <v>0.02</v>
      </c>
      <c r="R23" s="282"/>
      <c r="S23" s="301">
        <f t="shared" si="26"/>
        <v>0.34146341463414637</v>
      </c>
      <c r="T23" s="345">
        <f t="shared" si="5"/>
        <v>1.7073170731707318E-2</v>
      </c>
      <c r="U23" s="354"/>
      <c r="V23" s="367">
        <f t="shared" si="7"/>
        <v>0.82000000000000006</v>
      </c>
      <c r="W23" s="267">
        <f t="shared" si="13"/>
        <v>0.70000000000000007</v>
      </c>
      <c r="X23" s="354"/>
      <c r="Y23" s="183">
        <f>J23/E23</f>
        <v>0.02</v>
      </c>
      <c r="Z23" s="185">
        <f>M23/E23</f>
        <v>1.7073170731707318E-2</v>
      </c>
      <c r="AA23" s="162">
        <f>-J23+M23</f>
        <v>-6.1463414634146285E-2</v>
      </c>
      <c r="AB23" s="165">
        <f>((Z23/$C$7)-1)</f>
        <v>-0.14634146341463405</v>
      </c>
      <c r="AH23" s="24"/>
      <c r="AI23" s="24"/>
      <c r="AL23">
        <f>+$AL$11</f>
        <v>20.329999999999998</v>
      </c>
      <c r="AM23" s="4">
        <f>AL23/B23</f>
        <v>0.49585365853658531</v>
      </c>
      <c r="AN23" s="7">
        <f t="shared" si="28"/>
        <v>0</v>
      </c>
      <c r="AP23" s="4"/>
      <c r="AQ23" s="2">
        <f xml:space="preserve"> $E$7*M23</f>
        <v>12190.243902439026</v>
      </c>
      <c r="AT23" s="4">
        <f>E23*$AY$6</f>
        <v>0.42</v>
      </c>
    </row>
    <row r="24" spans="2:51" ht="14.4" thickBot="1" x14ac:dyDescent="0.3">
      <c r="B24" s="347">
        <f>B23+0.33</f>
        <v>41.33</v>
      </c>
      <c r="C24" s="349">
        <f>IF(B24&lt;$B$16,B24*J14,(B24-(B24-$B$16))*$C$7)</f>
        <v>0.70000000000000007</v>
      </c>
      <c r="D24" s="29"/>
      <c r="E24" s="253">
        <f t="shared" si="0"/>
        <v>21.33</v>
      </c>
      <c r="F24" s="254">
        <f t="shared" si="21"/>
        <v>0.51609000725864984</v>
      </c>
      <c r="G24" s="261">
        <f t="shared" si="22"/>
        <v>0.4839099927413501</v>
      </c>
      <c r="H24" s="234">
        <f t="shared" si="9"/>
        <v>1</v>
      </c>
      <c r="I24" s="21"/>
      <c r="J24" s="242">
        <f>E24*$J$7</f>
        <v>0.42659999999999998</v>
      </c>
      <c r="K24" s="232">
        <f>J24/E24</f>
        <v>0.02</v>
      </c>
      <c r="L24" s="21"/>
      <c r="M24" s="316">
        <f>F24*C24</f>
        <v>0.36126300508105491</v>
      </c>
      <c r="N24" s="342">
        <f t="shared" si="24"/>
        <v>1.6936849745947256E-2</v>
      </c>
      <c r="O24" s="15"/>
      <c r="P24" s="264">
        <f t="shared" si="25"/>
        <v>0.27340000000000009</v>
      </c>
      <c r="Q24" s="340">
        <f t="shared" si="30"/>
        <v>0.02</v>
      </c>
      <c r="R24" s="282"/>
      <c r="S24" s="301">
        <f t="shared" si="26"/>
        <v>0.3387369949189451</v>
      </c>
      <c r="T24" s="345">
        <f t="shared" si="5"/>
        <v>1.6936849745947256E-2</v>
      </c>
      <c r="U24" s="354"/>
      <c r="V24" s="367">
        <f t="shared" si="7"/>
        <v>0.8266</v>
      </c>
      <c r="W24" s="267">
        <f t="shared" si="13"/>
        <v>0.7</v>
      </c>
      <c r="X24" s="354"/>
      <c r="Y24" s="183">
        <f>J24/E24</f>
        <v>0.02</v>
      </c>
      <c r="Z24" s="185">
        <f>M24/E24</f>
        <v>1.6936849745947256E-2</v>
      </c>
      <c r="AA24" s="162">
        <f>-J24+M24</f>
        <v>-6.5336994918945068E-2</v>
      </c>
      <c r="AB24" s="165">
        <f>((Z24/$C$7)-1)</f>
        <v>-0.15315751270263722</v>
      </c>
      <c r="AH24" s="24"/>
      <c r="AI24" s="24"/>
      <c r="AM24" s="4"/>
      <c r="AN24" s="7"/>
      <c r="AP24" s="4"/>
      <c r="AQ24" s="2"/>
      <c r="AT24" s="4"/>
    </row>
    <row r="25" spans="2:51" ht="14.4" thickBot="1" x14ac:dyDescent="0.3">
      <c r="B25" s="302">
        <f>B24+1</f>
        <v>42.33</v>
      </c>
      <c r="C25" s="172">
        <f>IF(B25&lt;$B$16,B25*J15,(B25-(B25-$B$16))*$C$7)</f>
        <v>0.70000000000000007</v>
      </c>
      <c r="D25" s="29"/>
      <c r="E25" s="253">
        <f t="shared" si="0"/>
        <v>22.33</v>
      </c>
      <c r="F25" s="337">
        <f>E25/B25</f>
        <v>0.52752185211433966</v>
      </c>
      <c r="G25" s="254">
        <f>$B$7/B25</f>
        <v>0.47247814788566028</v>
      </c>
      <c r="H25" s="234">
        <f t="shared" si="9"/>
        <v>1</v>
      </c>
      <c r="I25" s="21"/>
      <c r="J25" s="290">
        <f>E25*$J$7</f>
        <v>0.4466</v>
      </c>
      <c r="K25" s="291">
        <f>J25/E25</f>
        <v>0.02</v>
      </c>
      <c r="L25" s="21"/>
      <c r="M25" s="245">
        <f>F25*C25</f>
        <v>0.36926529648003781</v>
      </c>
      <c r="N25" s="343">
        <f>IF(B25&lt;$B$16,M25/E25,M25/E25)</f>
        <v>1.6536735175998112E-2</v>
      </c>
      <c r="O25" s="15"/>
      <c r="P25" s="341">
        <f t="shared" si="25"/>
        <v>0.25340000000000007</v>
      </c>
      <c r="Q25" s="341">
        <f t="shared" si="30"/>
        <v>0.02</v>
      </c>
      <c r="R25" s="282"/>
      <c r="S25" s="289">
        <f t="shared" si="26"/>
        <v>0.3307347035199622</v>
      </c>
      <c r="T25" s="346">
        <f t="shared" si="5"/>
        <v>1.6536735175998109E-2</v>
      </c>
      <c r="U25" s="355"/>
      <c r="V25" s="367">
        <f t="shared" si="7"/>
        <v>0.84660000000000002</v>
      </c>
      <c r="W25" s="267">
        <f t="shared" si="13"/>
        <v>0.7</v>
      </c>
      <c r="X25" s="355"/>
      <c r="Y25" s="181">
        <f>J25/E25</f>
        <v>0.02</v>
      </c>
      <c r="Z25" s="186">
        <f>M25/E25</f>
        <v>1.6536735175998112E-2</v>
      </c>
      <c r="AA25" s="163">
        <f>-J25+M25</f>
        <v>-7.7334703519962189E-2</v>
      </c>
      <c r="AB25" s="166">
        <f t="shared" si="27"/>
        <v>-0.17316324120009441</v>
      </c>
      <c r="AH25" s="24"/>
      <c r="AI25" s="24"/>
      <c r="AL25">
        <f>+$AL$11</f>
        <v>20.329999999999998</v>
      </c>
      <c r="AM25" s="4">
        <f>AL25/B25</f>
        <v>0.48027403732577367</v>
      </c>
      <c r="AN25" s="7">
        <f t="shared" si="28"/>
        <v>0</v>
      </c>
      <c r="AP25" s="4"/>
      <c r="AQ25" s="2">
        <f xml:space="preserve"> $E$7*M25</f>
        <v>12555.020080321285</v>
      </c>
      <c r="AT25" s="4">
        <f>E25*$AY$6</f>
        <v>0.4466</v>
      </c>
    </row>
    <row r="26" spans="2:51" x14ac:dyDescent="0.25">
      <c r="B26" s="348">
        <f>B25+0.34</f>
        <v>42.67</v>
      </c>
      <c r="C26" s="350">
        <f>IF(B26&lt;$B$16,B26*J16,(B26-(B26-$B$16))*$C$7)</f>
        <v>0.70000000000000007</v>
      </c>
      <c r="D26" s="29"/>
      <c r="E26" s="358">
        <f t="shared" si="0"/>
        <v>22.67</v>
      </c>
      <c r="F26" s="359">
        <f>E26/B26</f>
        <v>0.53128661823295054</v>
      </c>
      <c r="G26" s="254">
        <f>$B$7/B26</f>
        <v>0.46871338176704941</v>
      </c>
      <c r="H26" s="234">
        <f t="shared" si="9"/>
        <v>1</v>
      </c>
      <c r="I26" s="21"/>
      <c r="J26" s="242">
        <f>E26*$J$7</f>
        <v>0.45340000000000003</v>
      </c>
      <c r="K26" s="232">
        <f>J26/E26</f>
        <v>0.02</v>
      </c>
      <c r="L26" s="21"/>
      <c r="M26" s="316">
        <f>F26*C26</f>
        <v>0.3719006327630654</v>
      </c>
      <c r="N26" s="342">
        <f>IF(B26&lt;$B$16,M26/E26,M26/E26)</f>
        <v>1.6404968361846729E-2</v>
      </c>
      <c r="O26" s="15"/>
      <c r="P26" s="264">
        <f t="shared" si="25"/>
        <v>0.24660000000000004</v>
      </c>
      <c r="Q26" s="340">
        <f>(C21-P21)/E21</f>
        <v>0.02</v>
      </c>
      <c r="R26" s="282"/>
      <c r="S26" s="301">
        <f t="shared" si="26"/>
        <v>0.32809936723693461</v>
      </c>
      <c r="T26" s="345">
        <f t="shared" si="5"/>
        <v>1.6404968361846732E-2</v>
      </c>
      <c r="U26" s="354"/>
      <c r="V26" s="367">
        <f t="shared" si="7"/>
        <v>0.85340000000000005</v>
      </c>
      <c r="W26" s="267">
        <f t="shared" si="13"/>
        <v>0.7</v>
      </c>
      <c r="X26" s="354"/>
      <c r="Y26" s="183">
        <f>J26/E26</f>
        <v>0.02</v>
      </c>
      <c r="Z26" s="185">
        <f>M26/E26</f>
        <v>1.6404968361846729E-2</v>
      </c>
      <c r="AA26" s="162">
        <f>-J26+M26</f>
        <v>-8.1499367236934628E-2</v>
      </c>
      <c r="AB26" s="165">
        <f t="shared" si="27"/>
        <v>-0.1797515819076636</v>
      </c>
      <c r="AH26" s="24"/>
      <c r="AI26" s="24"/>
      <c r="AL26">
        <f>+$AL$11</f>
        <v>20.329999999999998</v>
      </c>
      <c r="AM26" s="4">
        <f>AL26/B26</f>
        <v>0.47644715256620573</v>
      </c>
      <c r="AN26" s="7">
        <f t="shared" ref="AN26:AN33" si="31">AR26+AP26</f>
        <v>0</v>
      </c>
      <c r="AP26" s="4"/>
      <c r="AQ26" s="2">
        <f xml:space="preserve"> $E$7*M26</f>
        <v>12644.621513944223</v>
      </c>
      <c r="AT26" s="4">
        <f>E26*$AY$6</f>
        <v>0.45340000000000003</v>
      </c>
    </row>
    <row r="27" spans="2:51" x14ac:dyDescent="0.25">
      <c r="B27" s="330">
        <f>B26+1</f>
        <v>43.67</v>
      </c>
      <c r="C27" s="328">
        <f>IF(B27&lt;$B$16,B27*#REF!,(B27-(B27-$B$16))*$C$7)</f>
        <v>0.70000000000000007</v>
      </c>
      <c r="D27" s="29"/>
      <c r="E27" s="253">
        <f t="shared" si="0"/>
        <v>23.67</v>
      </c>
      <c r="F27" s="254">
        <f t="shared" si="21"/>
        <v>0.54201969315319443</v>
      </c>
      <c r="G27" s="260">
        <f t="shared" ref="G27:G37" si="32">$B$7/B27</f>
        <v>0.45798030684680557</v>
      </c>
      <c r="H27" s="234">
        <f t="shared" si="9"/>
        <v>1</v>
      </c>
      <c r="I27" s="21"/>
      <c r="J27" s="242">
        <f>E27*$J$7</f>
        <v>0.47340000000000004</v>
      </c>
      <c r="K27" s="232">
        <f>J27/E27</f>
        <v>0.02</v>
      </c>
      <c r="L27" s="21"/>
      <c r="M27" s="316">
        <f>F27*C27</f>
        <v>0.37941378520723612</v>
      </c>
      <c r="N27" s="342">
        <f t="shared" si="24"/>
        <v>1.6029310739638196E-2</v>
      </c>
      <c r="O27" s="15"/>
      <c r="P27" s="264">
        <f t="shared" si="25"/>
        <v>0.22660000000000002</v>
      </c>
      <c r="Q27" s="340">
        <f t="shared" si="30"/>
        <v>0.02</v>
      </c>
      <c r="R27" s="282"/>
      <c r="S27" s="301">
        <f t="shared" si="26"/>
        <v>0.32058621479276395</v>
      </c>
      <c r="T27" s="345">
        <f t="shared" si="5"/>
        <v>1.6029310739638196E-2</v>
      </c>
      <c r="U27" s="354"/>
      <c r="V27" s="367">
        <f t="shared" si="7"/>
        <v>0.87340000000000007</v>
      </c>
      <c r="W27" s="267">
        <f t="shared" si="13"/>
        <v>0.70000000000000007</v>
      </c>
      <c r="X27" s="354"/>
      <c r="Y27" s="184">
        <f>J27/E27</f>
        <v>0.02</v>
      </c>
      <c r="Z27" s="185">
        <f>M27/E27</f>
        <v>1.6029310739638196E-2</v>
      </c>
      <c r="AA27" s="162">
        <f>-J27+M27</f>
        <v>-9.3986214792763922E-2</v>
      </c>
      <c r="AB27" s="165">
        <f t="shared" si="27"/>
        <v>-0.19853446301809019</v>
      </c>
      <c r="AH27" s="24"/>
      <c r="AI27" s="24"/>
      <c r="AL27">
        <f>+$AL$11</f>
        <v>20.329999999999998</v>
      </c>
      <c r="AM27" s="4">
        <f>AL27/B27</f>
        <v>0.46553698190977783</v>
      </c>
      <c r="AN27" s="7">
        <f t="shared" si="31"/>
        <v>0</v>
      </c>
      <c r="AP27" s="4"/>
      <c r="AQ27" s="2">
        <f xml:space="preserve"> $E$7*M27</f>
        <v>12900.068697046028</v>
      </c>
      <c r="AT27" s="4">
        <f>E27*$AY$6</f>
        <v>0.47340000000000004</v>
      </c>
    </row>
    <row r="28" spans="2:51" x14ac:dyDescent="0.25">
      <c r="B28" s="330">
        <f>B27+1</f>
        <v>44.67</v>
      </c>
      <c r="C28" s="328">
        <f>IF(B28&lt;$B$16,B28*J18,(B28-(B28-$B$16))*$C$7)</f>
        <v>0.70000000000000007</v>
      </c>
      <c r="D28" s="29"/>
      <c r="E28" s="253">
        <f t="shared" si="0"/>
        <v>24.67</v>
      </c>
      <c r="F28" s="254">
        <f t="shared" si="21"/>
        <v>0.55227221849115737</v>
      </c>
      <c r="G28" s="260">
        <f t="shared" si="32"/>
        <v>0.44772778150884263</v>
      </c>
      <c r="H28" s="234">
        <f t="shared" si="9"/>
        <v>1</v>
      </c>
      <c r="I28" s="21"/>
      <c r="J28" s="242">
        <f>E28*$J$7</f>
        <v>0.49340000000000006</v>
      </c>
      <c r="K28" s="232">
        <f>J28/E28</f>
        <v>0.02</v>
      </c>
      <c r="L28" s="21"/>
      <c r="M28" s="316">
        <f>F28*C28</f>
        <v>0.38659055294381017</v>
      </c>
      <c r="N28" s="342">
        <f t="shared" si="24"/>
        <v>1.5670472352809491E-2</v>
      </c>
      <c r="O28" s="15"/>
      <c r="P28" s="264">
        <f t="shared" si="25"/>
        <v>0.20660000000000001</v>
      </c>
      <c r="Q28" s="340">
        <f t="shared" si="30"/>
        <v>0.02</v>
      </c>
      <c r="R28" s="282"/>
      <c r="S28" s="301">
        <f t="shared" si="26"/>
        <v>0.31340944705618989</v>
      </c>
      <c r="T28" s="345">
        <f t="shared" si="5"/>
        <v>1.5670472352809495E-2</v>
      </c>
      <c r="U28" s="354"/>
      <c r="V28" s="367">
        <f t="shared" si="7"/>
        <v>0.89340000000000008</v>
      </c>
      <c r="W28" s="267">
        <f t="shared" si="13"/>
        <v>0.70000000000000007</v>
      </c>
      <c r="X28" s="354"/>
      <c r="Y28" s="183">
        <f>J28/E28</f>
        <v>0.02</v>
      </c>
      <c r="Z28" s="185">
        <f>M28/E28</f>
        <v>1.5670472352809491E-2</v>
      </c>
      <c r="AA28" s="162">
        <f>-J28+M28</f>
        <v>-0.10680944705618989</v>
      </c>
      <c r="AB28" s="165">
        <f t="shared" si="27"/>
        <v>-0.21647638235952549</v>
      </c>
      <c r="AH28" s="24"/>
      <c r="AI28" s="24"/>
      <c r="AL28">
        <f>+$AL$11</f>
        <v>20.329999999999998</v>
      </c>
      <c r="AM28" s="4">
        <f>AL28/B28</f>
        <v>0.45511528990373845</v>
      </c>
      <c r="AN28" s="7">
        <f t="shared" si="31"/>
        <v>0</v>
      </c>
      <c r="AP28" s="4"/>
      <c r="AQ28" s="2">
        <f xml:space="preserve"> $E$7*M28</f>
        <v>13144.078800089546</v>
      </c>
      <c r="AT28" s="4">
        <f>E28*$AY$6</f>
        <v>0.49340000000000006</v>
      </c>
    </row>
    <row r="29" spans="2:51" x14ac:dyDescent="0.25">
      <c r="B29" s="330">
        <f t="shared" ref="B29:B33" si="33">B28+1</f>
        <v>45.67</v>
      </c>
      <c r="C29" s="328">
        <f>IF(B29&lt;$B$16,B29*J19,(B29-(B29-$B$16))*$C$7)</f>
        <v>0.70000000000000007</v>
      </c>
      <c r="D29" s="29"/>
      <c r="E29" s="253">
        <f t="shared" si="0"/>
        <v>25.67</v>
      </c>
      <c r="F29" s="254">
        <f t="shared" si="21"/>
        <v>0.56207576089336542</v>
      </c>
      <c r="G29" s="260">
        <f t="shared" si="32"/>
        <v>0.43792423910663453</v>
      </c>
      <c r="H29" s="234">
        <f t="shared" si="9"/>
        <v>1</v>
      </c>
      <c r="I29" s="21"/>
      <c r="J29" s="242">
        <f>E29*$J$7</f>
        <v>0.51340000000000008</v>
      </c>
      <c r="K29" s="232">
        <f>J29/E29</f>
        <v>0.02</v>
      </c>
      <c r="L29" s="21"/>
      <c r="M29" s="316">
        <f>F29*C29</f>
        <v>0.3934530326253558</v>
      </c>
      <c r="N29" s="342">
        <f t="shared" si="24"/>
        <v>1.5327348368732207E-2</v>
      </c>
      <c r="O29" s="15"/>
      <c r="P29" s="264">
        <f t="shared" si="25"/>
        <v>0.18659999999999999</v>
      </c>
      <c r="Q29" s="340">
        <f t="shared" si="30"/>
        <v>0.02</v>
      </c>
      <c r="R29" s="282"/>
      <c r="S29" s="301">
        <f t="shared" si="26"/>
        <v>0.30654696737464421</v>
      </c>
      <c r="T29" s="345">
        <f t="shared" si="5"/>
        <v>1.5327348368732211E-2</v>
      </c>
      <c r="U29" s="354"/>
      <c r="V29" s="367">
        <f t="shared" si="7"/>
        <v>0.9134000000000001</v>
      </c>
      <c r="W29" s="267">
        <f t="shared" si="13"/>
        <v>0.7</v>
      </c>
      <c r="X29" s="354"/>
      <c r="Y29" s="183">
        <f>J29/E29</f>
        <v>0.02</v>
      </c>
      <c r="Z29" s="185">
        <f>M29/E29</f>
        <v>1.5327348368732207E-2</v>
      </c>
      <c r="AA29" s="162">
        <f>-J29+M29</f>
        <v>-0.11994696737464428</v>
      </c>
      <c r="AB29" s="165">
        <f t="shared" si="27"/>
        <v>-0.23363258156338962</v>
      </c>
      <c r="AH29" s="24"/>
      <c r="AI29" s="24"/>
      <c r="AL29">
        <f>+$AL$11</f>
        <v>20.329999999999998</v>
      </c>
      <c r="AM29" s="4">
        <f>AL29/B29</f>
        <v>0.44514998905189396</v>
      </c>
      <c r="AN29" s="7">
        <f t="shared" si="31"/>
        <v>0</v>
      </c>
      <c r="AP29" s="4"/>
      <c r="AQ29" s="2">
        <f xml:space="preserve"> $E$7*M29</f>
        <v>13377.403109262097</v>
      </c>
      <c r="AT29" s="4">
        <f>E29*$AY$6</f>
        <v>0.51340000000000008</v>
      </c>
    </row>
    <row r="30" spans="2:51" x14ac:dyDescent="0.25">
      <c r="B30" s="330">
        <f t="shared" si="33"/>
        <v>46.67</v>
      </c>
      <c r="C30" s="328">
        <f>IF(B30&lt;$B$16,B30*J20,(B30-(B30-$B$16))*$C$7)</f>
        <v>0.70000000000000007</v>
      </c>
      <c r="D30" s="29"/>
      <c r="E30" s="253">
        <f t="shared" si="0"/>
        <v>26.67</v>
      </c>
      <c r="F30" s="254">
        <f t="shared" si="21"/>
        <v>0.57145918148703667</v>
      </c>
      <c r="G30" s="260">
        <f t="shared" si="32"/>
        <v>0.42854081851296333</v>
      </c>
      <c r="H30" s="234">
        <f t="shared" si="9"/>
        <v>1</v>
      </c>
      <c r="I30" s="21"/>
      <c r="J30" s="242">
        <f>E30*$J$7</f>
        <v>0.5334000000000001</v>
      </c>
      <c r="K30" s="232">
        <f>J30/E30</f>
        <v>2.0000000000000004E-2</v>
      </c>
      <c r="L30" s="21"/>
      <c r="M30" s="316">
        <f>F30*C30</f>
        <v>0.40002142704092569</v>
      </c>
      <c r="N30" s="342">
        <f t="shared" si="24"/>
        <v>1.4998928647953718E-2</v>
      </c>
      <c r="O30" s="15"/>
      <c r="P30" s="264">
        <f t="shared" si="25"/>
        <v>0.16659999999999997</v>
      </c>
      <c r="Q30" s="340">
        <f t="shared" si="30"/>
        <v>0.02</v>
      </c>
      <c r="R30" s="282"/>
      <c r="S30" s="301">
        <f t="shared" si="26"/>
        <v>0.29997857295907437</v>
      </c>
      <c r="T30" s="345">
        <f t="shared" si="5"/>
        <v>1.4998928647953718E-2</v>
      </c>
      <c r="U30" s="354"/>
      <c r="V30" s="367">
        <f t="shared" si="7"/>
        <v>0.93340000000000001</v>
      </c>
      <c r="W30" s="267">
        <f t="shared" si="13"/>
        <v>0.70000000000000007</v>
      </c>
      <c r="X30" s="354"/>
      <c r="Y30" s="183">
        <f>J30/E30</f>
        <v>2.0000000000000004E-2</v>
      </c>
      <c r="Z30" s="185">
        <f>M30/E30</f>
        <v>1.4998928647953718E-2</v>
      </c>
      <c r="AA30" s="162">
        <f>-J30+M30</f>
        <v>-0.1333785729590744</v>
      </c>
      <c r="AB30" s="165">
        <f t="shared" si="27"/>
        <v>-0.25005356760231412</v>
      </c>
      <c r="AH30" s="24"/>
      <c r="AI30" s="24"/>
      <c r="AL30">
        <f>+$AL$11</f>
        <v>20.329999999999998</v>
      </c>
      <c r="AM30" s="4">
        <f>AL30/B30</f>
        <v>0.43561174201842723</v>
      </c>
      <c r="AN30" s="7">
        <f t="shared" si="31"/>
        <v>0</v>
      </c>
      <c r="AP30" s="4"/>
      <c r="AQ30" s="2">
        <f xml:space="preserve"> $E$7*M30</f>
        <v>13600.728519391474</v>
      </c>
      <c r="AT30" s="4">
        <f>E30*$AY$6</f>
        <v>0.5334000000000001</v>
      </c>
    </row>
    <row r="31" spans="2:51" x14ac:dyDescent="0.25">
      <c r="B31" s="330">
        <f t="shared" si="33"/>
        <v>47.67</v>
      </c>
      <c r="C31" s="328">
        <f>IF(B31&lt;$B$16,B31*J21,(B31-(B31-$B$16))*$C$7)</f>
        <v>0.70000000000000007</v>
      </c>
      <c r="D31" s="29"/>
      <c r="E31" s="253">
        <f t="shared" si="0"/>
        <v>27.67</v>
      </c>
      <c r="F31" s="254">
        <f t="shared" si="21"/>
        <v>0.58044891965596812</v>
      </c>
      <c r="G31" s="260">
        <f t="shared" si="32"/>
        <v>0.41955108034403188</v>
      </c>
      <c r="H31" s="234">
        <f t="shared" si="9"/>
        <v>1</v>
      </c>
      <c r="I31" s="21"/>
      <c r="J31" s="242">
        <f>E31*$J$7</f>
        <v>0.5534</v>
      </c>
      <c r="K31" s="232">
        <f>J31/E31</f>
        <v>0.02</v>
      </c>
      <c r="L31" s="21"/>
      <c r="M31" s="316">
        <f>F31*C31</f>
        <v>0.40631424375917774</v>
      </c>
      <c r="N31" s="342">
        <f t="shared" si="24"/>
        <v>1.4684287812041117E-2</v>
      </c>
      <c r="O31" s="15"/>
      <c r="P31" s="264">
        <f t="shared" si="25"/>
        <v>0.14660000000000006</v>
      </c>
      <c r="Q31" s="340">
        <f t="shared" si="30"/>
        <v>0.02</v>
      </c>
      <c r="R31" s="282"/>
      <c r="S31" s="301">
        <f t="shared" si="26"/>
        <v>0.29368575624082233</v>
      </c>
      <c r="T31" s="345">
        <f t="shared" si="5"/>
        <v>1.4684287812041116E-2</v>
      </c>
      <c r="U31" s="354"/>
      <c r="V31" s="367">
        <f t="shared" si="7"/>
        <v>0.95340000000000003</v>
      </c>
      <c r="W31" s="267">
        <f t="shared" si="13"/>
        <v>0.70000000000000007</v>
      </c>
      <c r="X31" s="354"/>
      <c r="Y31" s="183">
        <f>J31/E31</f>
        <v>0.02</v>
      </c>
      <c r="Z31" s="185">
        <f>M31/E31</f>
        <v>1.4684287812041117E-2</v>
      </c>
      <c r="AA31" s="162">
        <f>-J31+M31</f>
        <v>-0.14708575624082226</v>
      </c>
      <c r="AB31" s="165">
        <f t="shared" si="27"/>
        <v>-0.26578560939794416</v>
      </c>
      <c r="AH31" s="24"/>
      <c r="AI31" s="24"/>
      <c r="AL31">
        <f>+$AL$11</f>
        <v>20.329999999999998</v>
      </c>
      <c r="AM31" s="4">
        <f>AL31/B31</f>
        <v>0.42647367316970836</v>
      </c>
      <c r="AN31" s="7">
        <f t="shared" si="31"/>
        <v>0</v>
      </c>
      <c r="AP31" s="4"/>
      <c r="AQ31" s="2">
        <f xml:space="preserve"> $E$7*M31</f>
        <v>13814.684287812042</v>
      </c>
      <c r="AT31" s="4">
        <f>E31*$AY$6</f>
        <v>0.5534</v>
      </c>
    </row>
    <row r="32" spans="2:51" x14ac:dyDescent="0.25">
      <c r="B32" s="330">
        <f t="shared" si="33"/>
        <v>48.67</v>
      </c>
      <c r="C32" s="328">
        <f>IF(B32&lt;$B$16,B32*J22,(B32-(B32-$B$16))*$C$7)</f>
        <v>0.70000000000000007</v>
      </c>
      <c r="D32" s="29"/>
      <c r="E32" s="253">
        <f t="shared" si="0"/>
        <v>28.67</v>
      </c>
      <c r="F32" s="254">
        <f t="shared" si="21"/>
        <v>0.58906924183275122</v>
      </c>
      <c r="G32" s="260">
        <f t="shared" si="32"/>
        <v>0.41093075816724878</v>
      </c>
      <c r="H32" s="234">
        <f t="shared" si="9"/>
        <v>1</v>
      </c>
      <c r="I32" s="21"/>
      <c r="J32" s="242">
        <f>E32*$J$7</f>
        <v>0.57340000000000002</v>
      </c>
      <c r="K32" s="232">
        <f>J32/E32</f>
        <v>0.02</v>
      </c>
      <c r="L32" s="21"/>
      <c r="M32" s="316">
        <f>F32*C32</f>
        <v>0.4123484692829259</v>
      </c>
      <c r="N32" s="342">
        <f t="shared" si="24"/>
        <v>1.438257653585371E-2</v>
      </c>
      <c r="O32" s="15"/>
      <c r="P32" s="264">
        <f t="shared" si="25"/>
        <v>0.12660000000000005</v>
      </c>
      <c r="Q32" s="340">
        <f t="shared" si="30"/>
        <v>0.02</v>
      </c>
      <c r="R32" s="282"/>
      <c r="S32" s="301">
        <f t="shared" si="26"/>
        <v>0.28765153071707417</v>
      </c>
      <c r="T32" s="345">
        <f t="shared" si="5"/>
        <v>1.4382576535853708E-2</v>
      </c>
      <c r="U32" s="354"/>
      <c r="V32" s="367">
        <f t="shared" si="7"/>
        <v>0.97340000000000004</v>
      </c>
      <c r="W32" s="267">
        <f t="shared" si="13"/>
        <v>0.70000000000000007</v>
      </c>
      <c r="X32" s="354"/>
      <c r="Y32" s="183">
        <f>J32/E32</f>
        <v>0.02</v>
      </c>
      <c r="Z32" s="185">
        <f>M32/E32</f>
        <v>1.438257653585371E-2</v>
      </c>
      <c r="AA32" s="162">
        <f>-J32+M32</f>
        <v>-0.16105153071707412</v>
      </c>
      <c r="AB32" s="165">
        <f t="shared" si="27"/>
        <v>-0.28087117320731458</v>
      </c>
      <c r="AH32" s="24"/>
      <c r="AI32" s="24"/>
      <c r="AL32">
        <f>+$AL$11</f>
        <v>20.329999999999998</v>
      </c>
      <c r="AM32" s="4">
        <f>AL32/B32</f>
        <v>0.41771111567700836</v>
      </c>
      <c r="AN32" s="7">
        <f t="shared" si="31"/>
        <v>0</v>
      </c>
      <c r="AP32" s="4"/>
      <c r="AQ32" s="2">
        <f xml:space="preserve"> $E$7*M32</f>
        <v>14019.84795561948</v>
      </c>
      <c r="AT32" s="4">
        <f>E32*$AY$6</f>
        <v>0.57340000000000002</v>
      </c>
    </row>
    <row r="33" spans="2:46" x14ac:dyDescent="0.25">
      <c r="B33" s="330">
        <f t="shared" si="33"/>
        <v>49.67</v>
      </c>
      <c r="C33" s="328">
        <f>IF(B33&lt;$B$16,B33*J23,(B33-(B33-$B$16))*$C$7)</f>
        <v>0.70000000000000007</v>
      </c>
      <c r="D33" s="29"/>
      <c r="E33" s="253">
        <f t="shared" si="0"/>
        <v>29.67</v>
      </c>
      <c r="F33" s="254">
        <f t="shared" si="21"/>
        <v>0.59734246023756798</v>
      </c>
      <c r="G33" s="260">
        <f t="shared" si="32"/>
        <v>0.40265753976243202</v>
      </c>
      <c r="H33" s="234">
        <f t="shared" si="9"/>
        <v>1</v>
      </c>
      <c r="I33" s="21"/>
      <c r="J33" s="242">
        <f>E33*$J$7</f>
        <v>0.59340000000000004</v>
      </c>
      <c r="K33" s="232">
        <f>J33/E33</f>
        <v>0.02</v>
      </c>
      <c r="L33" s="21"/>
      <c r="M33" s="316">
        <f>F33*C33</f>
        <v>0.41813972216629763</v>
      </c>
      <c r="N33" s="342">
        <f t="shared" si="24"/>
        <v>1.4093013891685123E-2</v>
      </c>
      <c r="O33" s="15"/>
      <c r="P33" s="264">
        <f t="shared" si="25"/>
        <v>0.10660000000000003</v>
      </c>
      <c r="Q33" s="340">
        <f t="shared" si="30"/>
        <v>0.02</v>
      </c>
      <c r="R33" s="282"/>
      <c r="S33" s="301">
        <f t="shared" si="26"/>
        <v>0.28186027783370243</v>
      </c>
      <c r="T33" s="345">
        <f t="shared" si="5"/>
        <v>1.4093013891685121E-2</v>
      </c>
      <c r="U33" s="354"/>
      <c r="V33" s="367">
        <f t="shared" si="7"/>
        <v>0.99340000000000006</v>
      </c>
      <c r="W33" s="267">
        <f t="shared" si="13"/>
        <v>0.70000000000000007</v>
      </c>
      <c r="X33" s="354"/>
      <c r="Y33" s="184">
        <f>J33/E33</f>
        <v>0.02</v>
      </c>
      <c r="Z33" s="185">
        <f>M33/E33</f>
        <v>1.4093013891685123E-2</v>
      </c>
      <c r="AA33" s="162">
        <f>-J33+M33</f>
        <v>-0.1752602778337024</v>
      </c>
      <c r="AB33" s="165">
        <f t="shared" si="27"/>
        <v>-0.29534930541574389</v>
      </c>
      <c r="AH33" s="24"/>
      <c r="AI33" s="24"/>
      <c r="AL33">
        <f>+$AL$11</f>
        <v>20.329999999999998</v>
      </c>
      <c r="AM33" s="4">
        <f>AL33/B33</f>
        <v>0.40930138916851211</v>
      </c>
      <c r="AN33" s="7">
        <f t="shared" si="31"/>
        <v>0</v>
      </c>
      <c r="AP33" s="4"/>
      <c r="AQ33" s="2">
        <f xml:space="preserve"> $E$7*M33</f>
        <v>14216.750553654119</v>
      </c>
      <c r="AT33" s="4">
        <f>E33*$AY$6</f>
        <v>0.59340000000000004</v>
      </c>
    </row>
    <row r="34" spans="2:46" x14ac:dyDescent="0.25">
      <c r="B34" s="322">
        <v>55</v>
      </c>
      <c r="C34" s="328">
        <f>IF(B34&lt;$B$16,B34*J24,(B34-(B34-$B$16))*$C$7)</f>
        <v>0.70000000000000007</v>
      </c>
      <c r="D34" s="29"/>
      <c r="E34" s="253">
        <f t="shared" si="0"/>
        <v>35</v>
      </c>
      <c r="F34" s="254">
        <f t="shared" si="21"/>
        <v>0.63636363636363635</v>
      </c>
      <c r="G34" s="260">
        <f t="shared" si="32"/>
        <v>0.36363636363636365</v>
      </c>
      <c r="H34" s="234">
        <f t="shared" si="9"/>
        <v>1</v>
      </c>
      <c r="I34" s="21"/>
      <c r="J34" s="242">
        <f>E34*$J$7</f>
        <v>0.70000000000000007</v>
      </c>
      <c r="K34" s="232">
        <f>J34/E34</f>
        <v>0.02</v>
      </c>
      <c r="L34" s="21"/>
      <c r="M34" s="316">
        <f>F34*C34</f>
        <v>0.44545454545454549</v>
      </c>
      <c r="N34" s="342">
        <f t="shared" si="24"/>
        <v>1.2727272727272728E-2</v>
      </c>
      <c r="O34" s="15"/>
      <c r="P34" s="264">
        <f t="shared" si="25"/>
        <v>0</v>
      </c>
      <c r="Q34" s="334">
        <f t="shared" si="3"/>
        <v>0</v>
      </c>
      <c r="R34" s="282"/>
      <c r="S34" s="301">
        <f t="shared" si="26"/>
        <v>0.25454545454545457</v>
      </c>
      <c r="T34" s="345">
        <f t="shared" si="5"/>
        <v>1.2727272727272729E-2</v>
      </c>
      <c r="U34" s="354"/>
      <c r="V34" s="367">
        <f t="shared" si="7"/>
        <v>0</v>
      </c>
      <c r="W34" s="267">
        <f t="shared" si="13"/>
        <v>0.70000000000000007</v>
      </c>
      <c r="X34" s="354"/>
      <c r="Y34" s="183">
        <f>J34/E34</f>
        <v>0.02</v>
      </c>
      <c r="Z34" s="185">
        <f>M34/E34</f>
        <v>1.2727272727272728E-2</v>
      </c>
      <c r="AA34" s="162">
        <f>-J34+M34</f>
        <v>-0.25454545454545457</v>
      </c>
      <c r="AB34" s="165">
        <f t="shared" si="27"/>
        <v>-0.36363636363636365</v>
      </c>
      <c r="AH34" s="24"/>
    </row>
    <row r="35" spans="2:46" x14ac:dyDescent="0.25">
      <c r="B35" s="322">
        <v>60</v>
      </c>
      <c r="C35" s="328">
        <f>IF(B35&lt;$B$16,B35*J25,(B35-(B35-$B$16))*$C$7)</f>
        <v>0.70000000000000007</v>
      </c>
      <c r="D35" s="29"/>
      <c r="E35" s="253">
        <f t="shared" si="0"/>
        <v>40</v>
      </c>
      <c r="F35" s="254">
        <f t="shared" si="21"/>
        <v>0.66666666666666663</v>
      </c>
      <c r="G35" s="260">
        <f t="shared" si="32"/>
        <v>0.33333333333333331</v>
      </c>
      <c r="H35" s="234">
        <f t="shared" si="9"/>
        <v>1</v>
      </c>
      <c r="I35" s="21"/>
      <c r="J35" s="242">
        <f>E35*$J$7</f>
        <v>0.8</v>
      </c>
      <c r="K35" s="232">
        <f>J35/E35</f>
        <v>0.02</v>
      </c>
      <c r="L35" s="21"/>
      <c r="M35" s="316">
        <f>F35*C35</f>
        <v>0.46666666666666667</v>
      </c>
      <c r="N35" s="342">
        <f t="shared" si="24"/>
        <v>1.1666666666666667E-2</v>
      </c>
      <c r="O35" s="15"/>
      <c r="P35" s="264">
        <f t="shared" si="25"/>
        <v>-9.9999999999999978E-2</v>
      </c>
      <c r="Q35" s="334">
        <f t="shared" si="3"/>
        <v>-4.9999999999999992E-3</v>
      </c>
      <c r="R35" s="282"/>
      <c r="S35" s="301">
        <f t="shared" si="26"/>
        <v>0.23333333333333334</v>
      </c>
      <c r="T35" s="345">
        <f t="shared" si="5"/>
        <v>1.1666666666666667E-2</v>
      </c>
      <c r="U35" s="354"/>
      <c r="V35" s="367">
        <f t="shared" si="7"/>
        <v>-0.29999999999999993</v>
      </c>
      <c r="W35" s="267">
        <f t="shared" si="13"/>
        <v>0.7</v>
      </c>
      <c r="X35" s="354"/>
      <c r="Y35" s="183">
        <f>J35/E35</f>
        <v>0.02</v>
      </c>
      <c r="Z35" s="185">
        <f>M35/E35</f>
        <v>1.1666666666666667E-2</v>
      </c>
      <c r="AA35" s="162">
        <f>-J35+M35</f>
        <v>-0.33333333333333337</v>
      </c>
      <c r="AB35" s="165">
        <f t="shared" si="27"/>
        <v>-0.41666666666666663</v>
      </c>
      <c r="AH35" s="24"/>
    </row>
    <row r="36" spans="2:46" x14ac:dyDescent="0.25">
      <c r="B36" s="322">
        <v>65</v>
      </c>
      <c r="C36" s="328">
        <f>IF(B36&lt;$B$16,B36*J26,(B36-(B36-$B$16))*$C$7)</f>
        <v>0.70000000000000007</v>
      </c>
      <c r="D36" s="29"/>
      <c r="E36" s="253">
        <f t="shared" si="0"/>
        <v>45</v>
      </c>
      <c r="F36" s="254">
        <f t="shared" si="21"/>
        <v>0.69230769230769229</v>
      </c>
      <c r="G36" s="260">
        <f t="shared" si="32"/>
        <v>0.30769230769230771</v>
      </c>
      <c r="H36" s="234">
        <f t="shared" si="9"/>
        <v>1</v>
      </c>
      <c r="I36" s="21"/>
      <c r="J36" s="242">
        <f>E36*$J$7</f>
        <v>0.9</v>
      </c>
      <c r="K36" s="232">
        <f>J36/E36</f>
        <v>0.02</v>
      </c>
      <c r="L36" s="21"/>
      <c r="M36" s="316">
        <f>F36*C36</f>
        <v>0.48461538461538467</v>
      </c>
      <c r="N36" s="342">
        <f t="shared" si="24"/>
        <v>1.0769230769230771E-2</v>
      </c>
      <c r="O36" s="15"/>
      <c r="P36" s="264">
        <f t="shared" si="25"/>
        <v>-0.19999999999999996</v>
      </c>
      <c r="Q36" s="334">
        <f t="shared" si="3"/>
        <v>-9.9999999999999985E-3</v>
      </c>
      <c r="R36" s="282"/>
      <c r="S36" s="301">
        <f t="shared" si="26"/>
        <v>0.21538461538461542</v>
      </c>
      <c r="T36" s="345">
        <f t="shared" si="5"/>
        <v>1.0769230769230771E-2</v>
      </c>
      <c r="U36" s="354"/>
      <c r="V36" s="367">
        <f t="shared" si="7"/>
        <v>-0.64999999999999991</v>
      </c>
      <c r="W36" s="267">
        <f t="shared" si="13"/>
        <v>0.70000000000000007</v>
      </c>
      <c r="X36" s="354"/>
      <c r="Y36" s="183">
        <f>J36/E36</f>
        <v>0.02</v>
      </c>
      <c r="Z36" s="185">
        <f>M36/E36</f>
        <v>1.0769230769230771E-2</v>
      </c>
      <c r="AA36" s="162">
        <f>-J36+M36</f>
        <v>-0.41538461538461535</v>
      </c>
      <c r="AB36" s="165">
        <f t="shared" si="27"/>
        <v>-0.46153846153846145</v>
      </c>
      <c r="AH36" s="24"/>
    </row>
    <row r="37" spans="2:46" ht="14.4" thickBot="1" x14ac:dyDescent="0.3">
      <c r="B37" s="322">
        <v>70</v>
      </c>
      <c r="C37" s="328">
        <f>IF(B37&lt;$B$16,B37*J27,(B37-(B37-$B$16))*$C$7)</f>
        <v>0.70000000000000007</v>
      </c>
      <c r="D37" s="29"/>
      <c r="E37" s="251">
        <f t="shared" si="0"/>
        <v>50</v>
      </c>
      <c r="F37" s="257">
        <f t="shared" si="21"/>
        <v>0.7142857142857143</v>
      </c>
      <c r="G37" s="262">
        <f t="shared" si="32"/>
        <v>0.2857142857142857</v>
      </c>
      <c r="H37" s="235">
        <f t="shared" si="9"/>
        <v>1</v>
      </c>
      <c r="I37" s="21"/>
      <c r="J37" s="242">
        <f>E37*$J$7</f>
        <v>1</v>
      </c>
      <c r="K37" s="232">
        <f>J37/E37</f>
        <v>0.02</v>
      </c>
      <c r="L37" s="21"/>
      <c r="M37" s="316">
        <f>F37*C37</f>
        <v>0.50000000000000011</v>
      </c>
      <c r="N37" s="344">
        <f t="shared" si="24"/>
        <v>1.0000000000000002E-2</v>
      </c>
      <c r="O37" s="15"/>
      <c r="P37" s="264">
        <f t="shared" si="25"/>
        <v>-0.29999999999999993</v>
      </c>
      <c r="Q37" s="334">
        <f t="shared" si="3"/>
        <v>-1.4999999999999996E-2</v>
      </c>
      <c r="R37" s="282"/>
      <c r="S37" s="301">
        <f t="shared" si="26"/>
        <v>0.2</v>
      </c>
      <c r="T37" s="345">
        <f t="shared" si="5"/>
        <v>0.01</v>
      </c>
      <c r="U37" s="354"/>
      <c r="V37" s="367">
        <f t="shared" si="7"/>
        <v>-1.0499999999999998</v>
      </c>
      <c r="W37" s="267">
        <f t="shared" si="13"/>
        <v>0.70000000000000018</v>
      </c>
      <c r="X37" s="354"/>
      <c r="Y37" s="183">
        <f>J37/E37</f>
        <v>0.02</v>
      </c>
      <c r="Z37" s="185">
        <f>M37/E37</f>
        <v>1.0000000000000002E-2</v>
      </c>
      <c r="AA37" s="162">
        <f>-J37+M37</f>
        <v>-0.49999999999999989</v>
      </c>
      <c r="AB37" s="165">
        <f t="shared" si="27"/>
        <v>-0.49999999999999989</v>
      </c>
      <c r="AH37" s="24"/>
    </row>
    <row r="38" spans="2:46" x14ac:dyDescent="0.25">
      <c r="B38" s="357"/>
      <c r="C38" s="29"/>
      <c r="D38" s="29"/>
      <c r="H38" s="236"/>
      <c r="L38" s="280"/>
      <c r="AB38" s="1"/>
    </row>
    <row r="39" spans="2:46" x14ac:dyDescent="0.25">
      <c r="C39" s="280"/>
    </row>
    <row r="40" spans="2:46" x14ac:dyDescent="0.25">
      <c r="J40" s="21" t="s">
        <v>52</v>
      </c>
      <c r="K40" s="21"/>
      <c r="L40" s="21"/>
      <c r="M40" s="15" t="s">
        <v>52</v>
      </c>
      <c r="N40" s="15"/>
    </row>
  </sheetData>
  <phoneticPr fontId="2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B3B66-3E89-49DF-BCCA-A21743A12DE5}">
  <dimension ref="A1:BC40"/>
  <sheetViews>
    <sheetView rightToLeft="1" tabSelected="1" topLeftCell="G16" zoomScale="118" workbookViewId="0">
      <selection activeCell="T2" sqref="T2"/>
    </sheetView>
  </sheetViews>
  <sheetFormatPr defaultRowHeight="13.85" x14ac:dyDescent="0.25"/>
  <cols>
    <col min="1" max="1" width="8.6328125" customWidth="1"/>
    <col min="2" max="2" width="8.90625" customWidth="1"/>
    <col min="3" max="3" width="7.6328125" customWidth="1"/>
    <col min="4" max="4" width="1.36328125" customWidth="1"/>
    <col min="5" max="5" width="8.36328125" style="7" customWidth="1"/>
    <col min="6" max="8" width="9.453125" customWidth="1"/>
    <col min="9" max="9" width="1.26953125" customWidth="1"/>
    <col min="10" max="10" width="8.81640625" customWidth="1"/>
    <col min="11" max="11" width="8.26953125" customWidth="1"/>
    <col min="12" max="12" width="1.81640625" customWidth="1"/>
    <col min="13" max="14" width="10.36328125" customWidth="1"/>
    <col min="15" max="15" width="1.26953125" customWidth="1"/>
    <col min="16" max="16" width="7.90625" customWidth="1"/>
    <col min="17" max="17" width="8.453125" customWidth="1"/>
    <col min="18" max="18" width="1.26953125" style="236" customWidth="1"/>
    <col min="19" max="19" width="10.7265625" customWidth="1"/>
    <col min="20" max="20" width="10.54296875" customWidth="1"/>
    <col min="21" max="21" width="1" style="236" customWidth="1"/>
    <col min="22" max="22" width="9" customWidth="1"/>
    <col min="23" max="23" width="8.26953125" style="236" customWidth="1"/>
    <col min="24" max="24" width="6.81640625" style="236" customWidth="1"/>
    <col min="25" max="25" width="2.54296875" style="236" customWidth="1"/>
    <col min="26" max="26" width="8.36328125" style="236" customWidth="1"/>
    <col min="27" max="27" width="8.1796875" style="236" customWidth="1"/>
    <col min="28" max="28" width="3.36328125" style="236" customWidth="1"/>
    <col min="29" max="29" width="6.6328125" customWidth="1"/>
    <col min="30" max="30" width="10.453125" customWidth="1"/>
    <col min="31" max="31" width="8.81640625" customWidth="1"/>
    <col min="32" max="32" width="10.1796875" customWidth="1"/>
    <col min="38" max="40" width="7.453125" customWidth="1"/>
    <col min="42" max="46" width="8.81640625" customWidth="1"/>
    <col min="47" max="47" width="9.81640625" customWidth="1"/>
    <col min="48" max="48" width="9" customWidth="1"/>
    <col min="49" max="49" width="7.90625" customWidth="1"/>
    <col min="50" max="50" width="8.6328125" customWidth="1"/>
    <col min="54" max="54" width="9.6328125" bestFit="1" customWidth="1"/>
  </cols>
  <sheetData>
    <row r="1" spans="1:55" ht="18.45" thickBot="1" x14ac:dyDescent="0.4">
      <c r="J1" s="36" t="s">
        <v>108</v>
      </c>
      <c r="K1" s="364"/>
    </row>
    <row r="2" spans="1:55" ht="18.45" thickBot="1" x14ac:dyDescent="0.4">
      <c r="B2" s="68" t="s">
        <v>102</v>
      </c>
      <c r="C2" s="381"/>
      <c r="D2" s="381"/>
      <c r="E2" s="388"/>
      <c r="F2" s="381"/>
      <c r="G2" s="389">
        <v>0.02</v>
      </c>
      <c r="H2" s="390">
        <v>35</v>
      </c>
      <c r="J2" s="374" t="s">
        <v>109</v>
      </c>
      <c r="L2" s="381"/>
      <c r="M2" s="381"/>
      <c r="N2" s="376">
        <v>42825</v>
      </c>
      <c r="P2" s="68" t="s">
        <v>105</v>
      </c>
      <c r="Q2" s="374"/>
      <c r="R2" s="351" t="s">
        <v>104</v>
      </c>
      <c r="S2" s="375" t="s">
        <v>106</v>
      </c>
      <c r="T2" s="376">
        <v>14892</v>
      </c>
      <c r="U2" s="304"/>
      <c r="V2" s="372" t="s">
        <v>107</v>
      </c>
      <c r="W2" s="373"/>
      <c r="X2" s="272"/>
      <c r="Y2" s="272"/>
      <c r="Z2" s="304" t="s">
        <v>103</v>
      </c>
      <c r="AA2" s="304"/>
      <c r="AB2" s="304"/>
    </row>
    <row r="3" spans="1:55" ht="18.45" thickBot="1" x14ac:dyDescent="0.4">
      <c r="B3" s="382" t="s">
        <v>38</v>
      </c>
      <c r="C3" s="383"/>
      <c r="D3" s="318"/>
      <c r="E3" s="384" t="s">
        <v>41</v>
      </c>
      <c r="F3" s="385"/>
      <c r="G3" s="386" t="s">
        <v>99</v>
      </c>
      <c r="H3" s="387"/>
      <c r="J3" s="377" t="s">
        <v>91</v>
      </c>
      <c r="K3" s="378"/>
      <c r="L3" s="272"/>
      <c r="M3" s="379" t="s">
        <v>96</v>
      </c>
      <c r="N3" s="380"/>
      <c r="O3" s="36"/>
      <c r="P3" s="240" t="s">
        <v>91</v>
      </c>
      <c r="Q3" s="268"/>
      <c r="R3" s="244"/>
      <c r="S3" s="281" t="s">
        <v>96</v>
      </c>
      <c r="T3" s="271"/>
      <c r="U3" s="351"/>
      <c r="V3" s="394" t="s">
        <v>65</v>
      </c>
      <c r="W3" s="271" t="s">
        <v>46</v>
      </c>
      <c r="X3" s="351" t="s">
        <v>111</v>
      </c>
      <c r="Y3" s="351"/>
      <c r="Z3" s="351"/>
      <c r="AA3" s="351"/>
      <c r="AB3" s="351"/>
      <c r="AC3" s="68"/>
      <c r="AD3" s="182"/>
      <c r="AE3" s="74" t="s">
        <v>37</v>
      </c>
      <c r="AF3" s="69"/>
      <c r="AL3" s="36"/>
    </row>
    <row r="4" spans="1:55" ht="14.4" thickBot="1" x14ac:dyDescent="0.3">
      <c r="A4" t="s">
        <v>52</v>
      </c>
      <c r="B4" s="320">
        <v>1</v>
      </c>
      <c r="C4" s="321">
        <v>2</v>
      </c>
      <c r="D4" s="8"/>
      <c r="E4" s="139">
        <v>3</v>
      </c>
      <c r="F4" s="142">
        <v>4</v>
      </c>
      <c r="G4" s="131">
        <v>5</v>
      </c>
      <c r="H4" s="143">
        <v>6</v>
      </c>
      <c r="I4" s="8"/>
      <c r="J4" s="157">
        <v>5</v>
      </c>
      <c r="K4" s="288">
        <v>6</v>
      </c>
      <c r="L4" s="276"/>
      <c r="M4" s="297">
        <v>7</v>
      </c>
      <c r="N4" s="399">
        <v>8</v>
      </c>
      <c r="O4" s="305"/>
      <c r="P4" s="400">
        <v>9</v>
      </c>
      <c r="Q4" s="401">
        <v>10</v>
      </c>
      <c r="R4" s="305"/>
      <c r="S4" s="402">
        <v>11</v>
      </c>
      <c r="T4" s="305">
        <v>12</v>
      </c>
      <c r="U4" s="305"/>
      <c r="V4" s="403">
        <v>13</v>
      </c>
      <c r="W4" s="404">
        <v>14</v>
      </c>
      <c r="X4" s="305">
        <v>15</v>
      </c>
      <c r="Y4" s="305"/>
      <c r="Z4" s="352">
        <v>15</v>
      </c>
      <c r="AA4" s="352">
        <v>16</v>
      </c>
      <c r="AB4" s="305"/>
      <c r="AC4" s="160">
        <v>7</v>
      </c>
      <c r="AD4" s="157">
        <v>8</v>
      </c>
      <c r="AE4" s="157">
        <v>9</v>
      </c>
      <c r="AF4" s="156">
        <v>10</v>
      </c>
      <c r="AM4" s="8"/>
    </row>
    <row r="5" spans="1:55" x14ac:dyDescent="0.25">
      <c r="B5" s="322" t="s">
        <v>5</v>
      </c>
      <c r="C5" s="323" t="s">
        <v>84</v>
      </c>
      <c r="D5" s="174"/>
      <c r="E5" s="238" t="s">
        <v>14</v>
      </c>
      <c r="F5" s="246" t="s">
        <v>26</v>
      </c>
      <c r="G5" s="258" t="s">
        <v>26</v>
      </c>
      <c r="H5" s="229" t="s">
        <v>78</v>
      </c>
      <c r="I5" s="5"/>
      <c r="J5" s="286" t="s">
        <v>93</v>
      </c>
      <c r="K5" s="273" t="s">
        <v>92</v>
      </c>
      <c r="L5" s="277"/>
      <c r="M5" s="312" t="s">
        <v>95</v>
      </c>
      <c r="N5" s="293" t="s">
        <v>84</v>
      </c>
      <c r="O5" s="92"/>
      <c r="P5" s="332" t="s">
        <v>82</v>
      </c>
      <c r="Q5" s="273" t="s">
        <v>92</v>
      </c>
      <c r="R5" s="306"/>
      <c r="S5" s="298" t="s">
        <v>7</v>
      </c>
      <c r="T5" s="293" t="s">
        <v>84</v>
      </c>
      <c r="U5" s="352"/>
      <c r="V5" s="241"/>
      <c r="W5" s="293"/>
      <c r="X5" s="236" t="s">
        <v>114</v>
      </c>
      <c r="Y5" s="278"/>
      <c r="Z5" s="352"/>
      <c r="AA5" s="352"/>
      <c r="AB5" s="352"/>
      <c r="AC5" s="179" t="s">
        <v>56</v>
      </c>
      <c r="AD5" s="146"/>
      <c r="AE5" s="126" t="s">
        <v>43</v>
      </c>
      <c r="AF5" s="168" t="s">
        <v>42</v>
      </c>
      <c r="AP5" t="s">
        <v>16</v>
      </c>
      <c r="AQ5" s="5" t="s">
        <v>11</v>
      </c>
      <c r="AR5" t="s">
        <v>5</v>
      </c>
      <c r="AT5" s="1" t="s">
        <v>12</v>
      </c>
      <c r="AU5" t="s">
        <v>6</v>
      </c>
      <c r="AV5" t="s">
        <v>9</v>
      </c>
      <c r="AW5" t="s">
        <v>3</v>
      </c>
      <c r="AX5" s="3" t="s">
        <v>4</v>
      </c>
      <c r="AZ5" t="s">
        <v>3</v>
      </c>
      <c r="BA5" t="s">
        <v>2</v>
      </c>
      <c r="BB5" t="s">
        <v>1</v>
      </c>
      <c r="BC5" t="s">
        <v>5</v>
      </c>
    </row>
    <row r="6" spans="1:55" x14ac:dyDescent="0.25">
      <c r="B6" s="324" t="s">
        <v>30</v>
      </c>
      <c r="C6" s="325" t="s">
        <v>83</v>
      </c>
      <c r="D6" s="34"/>
      <c r="E6" s="247" t="s">
        <v>25</v>
      </c>
      <c r="F6" s="248" t="s">
        <v>29</v>
      </c>
      <c r="G6" s="259" t="s">
        <v>76</v>
      </c>
      <c r="H6" s="41" t="s">
        <v>79</v>
      </c>
      <c r="I6" s="5"/>
      <c r="J6" s="239" t="s">
        <v>94</v>
      </c>
      <c r="K6" s="274" t="s">
        <v>85</v>
      </c>
      <c r="L6" s="278"/>
      <c r="M6" s="313" t="s">
        <v>8</v>
      </c>
      <c r="N6" s="294" t="s">
        <v>85</v>
      </c>
      <c r="O6" s="31"/>
      <c r="P6" s="333" t="s">
        <v>98</v>
      </c>
      <c r="Q6" s="274" t="s">
        <v>85</v>
      </c>
      <c r="R6" s="307"/>
      <c r="S6" s="299" t="s">
        <v>63</v>
      </c>
      <c r="T6" s="294" t="s">
        <v>85</v>
      </c>
      <c r="U6" s="278"/>
      <c r="V6" s="241"/>
      <c r="W6" s="294"/>
      <c r="X6" s="391" t="s">
        <v>112</v>
      </c>
      <c r="Z6" s="278"/>
      <c r="AA6" s="278"/>
      <c r="AB6" s="278"/>
      <c r="AC6" s="159" t="s">
        <v>53</v>
      </c>
      <c r="AD6" s="78"/>
      <c r="AE6" s="7" t="s">
        <v>19</v>
      </c>
      <c r="AF6" s="169" t="s">
        <v>33</v>
      </c>
      <c r="AL6" s="10"/>
      <c r="AM6" s="1"/>
      <c r="AP6" s="9">
        <v>10000</v>
      </c>
      <c r="AQ6" s="9" t="s">
        <v>15</v>
      </c>
      <c r="AR6" s="8" t="s">
        <v>10</v>
      </c>
      <c r="AT6" s="11" t="s">
        <v>13</v>
      </c>
      <c r="AU6" s="11" t="s">
        <v>8</v>
      </c>
      <c r="BC6" s="1">
        <v>0.02</v>
      </c>
    </row>
    <row r="7" spans="1:55" ht="14.4" customHeight="1" x14ac:dyDescent="0.35">
      <c r="B7" s="326">
        <v>20</v>
      </c>
      <c r="C7" s="327">
        <v>0.02</v>
      </c>
      <c r="D7" s="34"/>
      <c r="E7" s="249">
        <v>34000</v>
      </c>
      <c r="F7" s="250" t="s">
        <v>15</v>
      </c>
      <c r="G7" s="230" t="s">
        <v>15</v>
      </c>
      <c r="H7" s="284" t="s">
        <v>80</v>
      </c>
      <c r="I7" s="9"/>
      <c r="J7" s="285">
        <v>0.02</v>
      </c>
      <c r="K7" s="275" t="s">
        <v>86</v>
      </c>
      <c r="L7" s="279"/>
      <c r="M7" s="314" t="s">
        <v>28</v>
      </c>
      <c r="N7" s="295" t="s">
        <v>86</v>
      </c>
      <c r="O7" s="8"/>
      <c r="P7" s="263">
        <v>0.02</v>
      </c>
      <c r="Q7" s="275" t="s">
        <v>86</v>
      </c>
      <c r="R7" s="308"/>
      <c r="S7" s="300" t="s">
        <v>28</v>
      </c>
      <c r="T7" s="295" t="s">
        <v>86</v>
      </c>
      <c r="U7" s="279"/>
      <c r="V7" s="395" t="s">
        <v>110</v>
      </c>
      <c r="W7" s="294" t="s">
        <v>110</v>
      </c>
      <c r="X7" s="266" t="s">
        <v>113</v>
      </c>
      <c r="Y7" s="405"/>
      <c r="Z7" s="279"/>
      <c r="AA7" s="279"/>
      <c r="AB7" s="279"/>
      <c r="AC7" s="160" t="s">
        <v>55</v>
      </c>
      <c r="AD7" s="131" t="s">
        <v>28</v>
      </c>
      <c r="AE7" s="11" t="s">
        <v>35</v>
      </c>
      <c r="AF7" s="170" t="s">
        <v>34</v>
      </c>
      <c r="AL7" s="10"/>
      <c r="AM7" s="10"/>
      <c r="AP7" s="9"/>
      <c r="AQ7" s="9"/>
      <c r="AR7" s="8"/>
      <c r="AT7" s="11"/>
      <c r="AU7" s="11"/>
      <c r="BC7" s="1"/>
    </row>
    <row r="8" spans="1:55" x14ac:dyDescent="0.25">
      <c r="B8" s="326" t="s">
        <v>57</v>
      </c>
      <c r="C8" s="339">
        <v>0.7</v>
      </c>
      <c r="D8" s="55"/>
      <c r="E8" s="251"/>
      <c r="F8" s="252" t="s">
        <v>32</v>
      </c>
      <c r="G8" s="231" t="s">
        <v>77</v>
      </c>
      <c r="H8" s="237" t="s">
        <v>81</v>
      </c>
      <c r="I8" s="75"/>
      <c r="J8" s="243" t="s">
        <v>90</v>
      </c>
      <c r="K8" s="252" t="s">
        <v>87</v>
      </c>
      <c r="L8" s="269"/>
      <c r="M8" s="315" t="s">
        <v>49</v>
      </c>
      <c r="N8" s="43" t="s">
        <v>89</v>
      </c>
      <c r="O8" s="43"/>
      <c r="P8" s="43" t="s">
        <v>100</v>
      </c>
      <c r="Q8" s="43" t="s">
        <v>101</v>
      </c>
      <c r="R8" s="309"/>
      <c r="S8" s="252" t="s">
        <v>49</v>
      </c>
      <c r="T8" s="309"/>
      <c r="U8" s="309"/>
      <c r="V8" s="396"/>
      <c r="W8" s="393"/>
      <c r="Y8" s="309"/>
      <c r="Z8" s="309"/>
      <c r="AA8" s="309"/>
      <c r="AB8" s="309"/>
      <c r="AC8" s="180" t="s">
        <v>54</v>
      </c>
      <c r="AD8" s="123" t="s">
        <v>23</v>
      </c>
      <c r="AE8" s="26" t="s">
        <v>44</v>
      </c>
      <c r="AF8" s="123" t="s">
        <v>58</v>
      </c>
      <c r="AL8" s="19"/>
      <c r="AM8" s="10"/>
      <c r="AP8" s="33">
        <v>20.329999999999998</v>
      </c>
      <c r="AQ8" s="9"/>
      <c r="AR8" s="8"/>
      <c r="AT8" s="11"/>
      <c r="AU8" s="11"/>
      <c r="BC8" s="1"/>
    </row>
    <row r="9" spans="1:55" x14ac:dyDescent="0.25">
      <c r="B9" s="322">
        <v>20</v>
      </c>
      <c r="C9" s="328">
        <f>IF(B9&lt;$H$2,B9*$C$7,(B9-(B9-$H$2))*$C$7)</f>
        <v>0.4</v>
      </c>
      <c r="D9" s="55"/>
      <c r="E9" s="253">
        <f t="shared" ref="E9:E37" si="0">IF(B9&gt;$B$7,B9-$B$7,0)</f>
        <v>0</v>
      </c>
      <c r="F9" s="254">
        <f t="shared" ref="F9:F37" si="1">E9/B9</f>
        <v>0</v>
      </c>
      <c r="G9" s="260">
        <f>IF(E9&gt;0,$B$7/B9,100%)</f>
        <v>1</v>
      </c>
      <c r="H9" s="234">
        <f>G9+F9</f>
        <v>1</v>
      </c>
      <c r="I9" s="75"/>
      <c r="J9" s="242">
        <f>E9*$J$7</f>
        <v>0</v>
      </c>
      <c r="K9" s="232">
        <f>IF(J9=0,0,J9/E9)</f>
        <v>0</v>
      </c>
      <c r="L9" s="21"/>
      <c r="M9" s="316">
        <f t="shared" ref="M9:M17" si="2">F9*C9</f>
        <v>0</v>
      </c>
      <c r="N9" s="296">
        <f>IF(AND(B9&lt;$B$16,M9&gt;0),M9/E9,M9/($B$7*G9))</f>
        <v>0</v>
      </c>
      <c r="O9" s="15"/>
      <c r="P9" s="264">
        <f>IF(C9&lt;$C$8,$B$7*$C$7,$C$8-F9)</f>
        <v>0.4</v>
      </c>
      <c r="Q9" s="334">
        <f t="shared" ref="Q9:Q37" si="3">P9/$B$7</f>
        <v>0.02</v>
      </c>
      <c r="R9" s="282"/>
      <c r="S9" s="301">
        <f t="shared" ref="S9:S37" si="4">C9*G9</f>
        <v>0.4</v>
      </c>
      <c r="T9" s="267">
        <f t="shared" ref="T9:T37" si="5">S9/$B$7</f>
        <v>0.02</v>
      </c>
      <c r="U9" s="150"/>
      <c r="V9" s="397">
        <f>($N$2*J9)+($T$2*P9)</f>
        <v>5956.8</v>
      </c>
      <c r="W9" s="398">
        <f>($N$2*M9)+($T$2*S9)</f>
        <v>5956.8</v>
      </c>
      <c r="X9" s="406">
        <f>W9-V9</f>
        <v>0</v>
      </c>
      <c r="Y9" s="392"/>
      <c r="Z9" s="367">
        <f>Q9*B9</f>
        <v>0.4</v>
      </c>
      <c r="AA9" s="267">
        <f>B9*T9</f>
        <v>0.4</v>
      </c>
      <c r="AB9" s="150"/>
      <c r="AC9" s="183" t="e">
        <f>J9/E9</f>
        <v>#DIV/0!</v>
      </c>
      <c r="AD9" s="183" t="e">
        <f>M9/E9</f>
        <v>#DIV/0!</v>
      </c>
      <c r="AE9" s="122">
        <f>J9-M9</f>
        <v>0</v>
      </c>
      <c r="AF9" s="124" t="e">
        <f t="shared" ref="AF9:AF16" si="6">((AD9/$C$7)-1)*-1</f>
        <v>#DIV/0!</v>
      </c>
      <c r="AL9" s="19"/>
      <c r="AM9" s="10"/>
      <c r="AP9" s="33"/>
      <c r="AQ9" s="9"/>
      <c r="AR9" s="8"/>
      <c r="AT9" s="11"/>
      <c r="AU9" s="11"/>
      <c r="BC9" s="1"/>
    </row>
    <row r="10" spans="1:55" x14ac:dyDescent="0.25">
      <c r="B10" s="322">
        <v>25</v>
      </c>
      <c r="C10" s="328">
        <f>IF(B10&lt;$H$2,B10*$C$7,(B10-(B10-$H$2))*$C$7)</f>
        <v>0.5</v>
      </c>
      <c r="D10" s="55"/>
      <c r="E10" s="253">
        <f t="shared" si="0"/>
        <v>5</v>
      </c>
      <c r="F10" s="254">
        <f t="shared" si="1"/>
        <v>0.2</v>
      </c>
      <c r="G10" s="260">
        <f>IF(E10&gt;0,$B$7/B10,100%)</f>
        <v>0.8</v>
      </c>
      <c r="H10" s="234">
        <f>G10+F10</f>
        <v>1</v>
      </c>
      <c r="I10" s="75"/>
      <c r="J10" s="242">
        <f>E10*$J$7</f>
        <v>0.1</v>
      </c>
      <c r="K10" s="232">
        <f>IF(J10=0,0,J10/E10)</f>
        <v>0.02</v>
      </c>
      <c r="L10" s="21"/>
      <c r="M10" s="316">
        <f>F10*C10</f>
        <v>0.1</v>
      </c>
      <c r="N10" s="296">
        <f>IF(AND(B10&lt;$B$16,M10&gt;0),M10/E10,M10/($B$7*G10))</f>
        <v>0.02</v>
      </c>
      <c r="O10" s="15"/>
      <c r="P10" s="264">
        <f>IF(C10&lt;$C$8,$B$7*$C$7,$C$8-F10)</f>
        <v>0.4</v>
      </c>
      <c r="Q10" s="334">
        <f t="shared" si="3"/>
        <v>0.02</v>
      </c>
      <c r="R10" s="282"/>
      <c r="S10" s="301">
        <f>C10*G10</f>
        <v>0.4</v>
      </c>
      <c r="T10" s="267">
        <f t="shared" si="5"/>
        <v>0.02</v>
      </c>
      <c r="U10" s="150"/>
      <c r="V10" s="397">
        <f>($N$2*J10)+($T$2*P10)</f>
        <v>10239.299999999999</v>
      </c>
      <c r="W10" s="398">
        <f t="shared" ref="W10:W37" si="7">($N$2*M10)+($T$2*S10)</f>
        <v>10239.299999999999</v>
      </c>
      <c r="X10" s="406">
        <f t="shared" ref="X10:X37" si="8">W10-V10</f>
        <v>0</v>
      </c>
      <c r="Y10" s="150"/>
      <c r="Z10" s="367">
        <f>Q10*B10</f>
        <v>0.5</v>
      </c>
      <c r="AA10" s="267">
        <f>B10*T10</f>
        <v>0.5</v>
      </c>
      <c r="AB10" s="150"/>
      <c r="AC10" s="183"/>
      <c r="AD10" s="183"/>
      <c r="AE10" s="122"/>
      <c r="AF10" s="124"/>
      <c r="AL10" s="19"/>
      <c r="AM10" s="10"/>
      <c r="AP10" s="33"/>
      <c r="AQ10" s="9"/>
      <c r="AR10" s="8"/>
      <c r="AT10" s="11"/>
      <c r="AU10" s="11"/>
      <c r="BC10" s="1"/>
    </row>
    <row r="11" spans="1:55" x14ac:dyDescent="0.25">
      <c r="B11" s="322">
        <v>30</v>
      </c>
      <c r="C11" s="328">
        <f>IF(B11&lt;$B$16,B11*$C$7,(B11-(B11-$B$16))*$C$7)</f>
        <v>0.6</v>
      </c>
      <c r="D11" s="15"/>
      <c r="E11" s="253">
        <f t="shared" si="0"/>
        <v>10</v>
      </c>
      <c r="F11" s="254">
        <f t="shared" si="1"/>
        <v>0.33333333333333331</v>
      </c>
      <c r="G11" s="260">
        <f>IF(E11&gt;0,$B$7/B11,100%)</f>
        <v>0.66666666666666663</v>
      </c>
      <c r="H11" s="234">
        <f t="shared" ref="H11:H37" si="9">G11+F11</f>
        <v>1</v>
      </c>
      <c r="I11" s="21"/>
      <c r="J11" s="360">
        <f>E11*$J$7</f>
        <v>0.2</v>
      </c>
      <c r="K11" s="232">
        <f>J11/E11</f>
        <v>0.02</v>
      </c>
      <c r="L11" s="21"/>
      <c r="M11" s="316">
        <f>F11*C11</f>
        <v>0.19999999999999998</v>
      </c>
      <c r="N11" s="296">
        <f>IF(AND(B11&lt;$B$16,M11&gt;0),M11/E11,M11/($B$7*G11))</f>
        <v>1.9999999999999997E-2</v>
      </c>
      <c r="O11" s="15"/>
      <c r="P11" s="264">
        <f>IF(C11&lt;$C$8,$B$7*$C$7,$C$8-F11)</f>
        <v>0.4</v>
      </c>
      <c r="Q11" s="334">
        <f t="shared" si="3"/>
        <v>0.02</v>
      </c>
      <c r="R11" s="282"/>
      <c r="S11" s="301">
        <f>C11*G11</f>
        <v>0.39999999999999997</v>
      </c>
      <c r="T11" s="267">
        <f t="shared" si="5"/>
        <v>1.9999999999999997E-2</v>
      </c>
      <c r="U11" s="150"/>
      <c r="V11" s="397">
        <f>($N$2*J11)+($T$2*P11)</f>
        <v>14521.8</v>
      </c>
      <c r="W11" s="398">
        <f t="shared" si="7"/>
        <v>14521.8</v>
      </c>
      <c r="X11" s="406">
        <f t="shared" si="8"/>
        <v>0</v>
      </c>
      <c r="Y11" s="150"/>
      <c r="Z11" s="367">
        <f>Q11*B11</f>
        <v>0.6</v>
      </c>
      <c r="AA11" s="267">
        <f>B11*T11</f>
        <v>0.59999999999999987</v>
      </c>
      <c r="AB11" s="150"/>
      <c r="AC11" s="183">
        <f>J11/E11</f>
        <v>0.02</v>
      </c>
      <c r="AD11" s="183">
        <f>M11/E11</f>
        <v>1.9999999999999997E-2</v>
      </c>
      <c r="AE11" s="122">
        <f>J11-M11</f>
        <v>0</v>
      </c>
      <c r="AF11" s="124">
        <f t="shared" si="6"/>
        <v>2.2204460492503131E-16</v>
      </c>
      <c r="AL11" s="22"/>
      <c r="AM11" s="22"/>
      <c r="AP11">
        <v>20.329999999999998</v>
      </c>
      <c r="AQ11" s="4">
        <f>AP11/B11</f>
        <v>0.67766666666666664</v>
      </c>
      <c r="AR11" s="7">
        <f>AV11+AT11</f>
        <v>0</v>
      </c>
      <c r="AT11" s="4"/>
      <c r="AU11" s="2">
        <f xml:space="preserve"> $E$7*M11</f>
        <v>6799.9999999999991</v>
      </c>
      <c r="AW11" s="5">
        <f>E7*M11</f>
        <v>6799.9999999999991</v>
      </c>
      <c r="AZ11" s="5">
        <f>AP6*BA11</f>
        <v>4065.9999999999995</v>
      </c>
      <c r="BA11" s="4">
        <f>AP11*$BC$6</f>
        <v>0.40659999999999996</v>
      </c>
      <c r="BC11">
        <v>30</v>
      </c>
    </row>
    <row r="12" spans="1:55" x14ac:dyDescent="0.25">
      <c r="B12" s="329">
        <f>B11+1</f>
        <v>31</v>
      </c>
      <c r="C12" s="328">
        <f>IF(B12&lt;$B$16,B12*$C$7,(B12-(B12-$B$16))*$C$7)</f>
        <v>0.62</v>
      </c>
      <c r="D12" s="15"/>
      <c r="E12" s="253">
        <f t="shared" si="0"/>
        <v>11</v>
      </c>
      <c r="F12" s="254">
        <f t="shared" si="1"/>
        <v>0.35483870967741937</v>
      </c>
      <c r="G12" s="260">
        <f>IF(E12&gt;0,$B$7/B12,100%)</f>
        <v>0.64516129032258063</v>
      </c>
      <c r="H12" s="234">
        <f t="shared" si="9"/>
        <v>1</v>
      </c>
      <c r="I12" s="21"/>
      <c r="J12" s="360">
        <f>E12*$J$7</f>
        <v>0.22</v>
      </c>
      <c r="K12" s="232">
        <f>J12/E12</f>
        <v>0.02</v>
      </c>
      <c r="L12" s="21"/>
      <c r="M12" s="316">
        <f>F12*C12</f>
        <v>0.22</v>
      </c>
      <c r="N12" s="296">
        <f>IF(AND(B12&lt;$B$16,M12&gt;0),M12/E12,M12/($B$7*G12))</f>
        <v>0.02</v>
      </c>
      <c r="O12" s="15"/>
      <c r="P12" s="264">
        <f>IF(C12&lt;$C$8,$B$7*$C$7,$C$8-F12)</f>
        <v>0.4</v>
      </c>
      <c r="Q12" s="334">
        <f t="shared" si="3"/>
        <v>0.02</v>
      </c>
      <c r="R12" s="282"/>
      <c r="S12" s="301">
        <f>C12*G12</f>
        <v>0.39999999999999997</v>
      </c>
      <c r="T12" s="267">
        <f t="shared" si="5"/>
        <v>1.9999999999999997E-2</v>
      </c>
      <c r="U12" s="150"/>
      <c r="V12" s="397">
        <f>($N$2*J12)+($T$2*P12)</f>
        <v>15378.3</v>
      </c>
      <c r="W12" s="398">
        <f t="shared" si="7"/>
        <v>15378.3</v>
      </c>
      <c r="X12" s="406">
        <f t="shared" si="8"/>
        <v>0</v>
      </c>
      <c r="Y12" s="150"/>
      <c r="Z12" s="367">
        <f>Q12*B12</f>
        <v>0.62</v>
      </c>
      <c r="AA12" s="267">
        <f>B12*T12</f>
        <v>0.61999999999999988</v>
      </c>
      <c r="AB12" s="150"/>
      <c r="AC12" s="183">
        <f>J12/E12</f>
        <v>0.02</v>
      </c>
      <c r="AD12" s="183">
        <f>M12/E12</f>
        <v>0.02</v>
      </c>
      <c r="AE12" s="122">
        <f>J12-M12</f>
        <v>0</v>
      </c>
      <c r="AF12" s="124">
        <f t="shared" si="6"/>
        <v>0</v>
      </c>
      <c r="AL12" s="22"/>
      <c r="AM12" s="22"/>
      <c r="AP12">
        <f>+$AP$11</f>
        <v>20.329999999999998</v>
      </c>
      <c r="AQ12" s="4">
        <f>AP12/B12</f>
        <v>0.65580645161290319</v>
      </c>
      <c r="AR12" s="7">
        <f>AV12+AT12</f>
        <v>2.0000000000000018E-2</v>
      </c>
      <c r="AT12" s="4">
        <f>M12-M11</f>
        <v>2.0000000000000018E-2</v>
      </c>
      <c r="AU12" s="2">
        <f xml:space="preserve"> $E$7*M12</f>
        <v>7480</v>
      </c>
      <c r="AX12" s="4">
        <f>E12*$BC$6</f>
        <v>0.22</v>
      </c>
      <c r="AZ12" s="5">
        <f t="shared" ref="AZ12:AZ14" si="10">BA11*BA12</f>
        <v>0.16532355999999998</v>
      </c>
      <c r="BA12" s="4">
        <f>AP12*$BC$6</f>
        <v>0.40659999999999996</v>
      </c>
      <c r="BC12">
        <v>31</v>
      </c>
    </row>
    <row r="13" spans="1:55" x14ac:dyDescent="0.25">
      <c r="B13" s="329">
        <f t="shared" ref="B13:B15" si="11">B12+1</f>
        <v>32</v>
      </c>
      <c r="C13" s="328">
        <f>IF(B13&lt;$B$16,B13*$C$7,(B13-(B13-$B$16))*$C$7)</f>
        <v>0.64</v>
      </c>
      <c r="D13" s="15"/>
      <c r="E13" s="253">
        <f t="shared" si="0"/>
        <v>12</v>
      </c>
      <c r="F13" s="254">
        <f t="shared" si="1"/>
        <v>0.375</v>
      </c>
      <c r="G13" s="260">
        <f>IF(E13&gt;0,$B$7/B13,100%)</f>
        <v>0.625</v>
      </c>
      <c r="H13" s="234">
        <f t="shared" si="9"/>
        <v>1</v>
      </c>
      <c r="I13" s="21"/>
      <c r="J13" s="242">
        <f>E13*$J$7</f>
        <v>0.24</v>
      </c>
      <c r="K13" s="232">
        <f>J13/E13</f>
        <v>0.02</v>
      </c>
      <c r="L13" s="21"/>
      <c r="M13" s="316">
        <f t="shared" si="2"/>
        <v>0.24</v>
      </c>
      <c r="N13" s="296">
        <f>IF(AND(B13&lt;$B$16,M13&gt;0),M13/E13,M13/($B$7*G13))</f>
        <v>0.02</v>
      </c>
      <c r="O13" s="15"/>
      <c r="P13" s="264">
        <f t="shared" ref="P13:P15" si="12">IF(C13&lt;$C$8,$B$7*$C$7,$C$8-F13)</f>
        <v>0.4</v>
      </c>
      <c r="Q13" s="340">
        <f t="shared" si="3"/>
        <v>0.02</v>
      </c>
      <c r="R13" s="282"/>
      <c r="S13" s="301">
        <f t="shared" si="4"/>
        <v>0.4</v>
      </c>
      <c r="T13" s="267">
        <f t="shared" si="5"/>
        <v>0.02</v>
      </c>
      <c r="U13" s="150"/>
      <c r="V13" s="397">
        <f t="shared" ref="V13:V37" si="13">($N$2*J13)+($T$2*P13)</f>
        <v>16234.8</v>
      </c>
      <c r="W13" s="398">
        <f t="shared" si="7"/>
        <v>16234.8</v>
      </c>
      <c r="X13" s="406">
        <f t="shared" si="8"/>
        <v>0</v>
      </c>
      <c r="Y13" s="150"/>
      <c r="Z13" s="367">
        <f>Q13*B13</f>
        <v>0.64</v>
      </c>
      <c r="AA13" s="267">
        <f>B13*T13</f>
        <v>0.64</v>
      </c>
      <c r="AB13" s="150"/>
      <c r="AC13" s="183">
        <f>J13/E13</f>
        <v>0.02</v>
      </c>
      <c r="AD13" s="183">
        <f>M13/E13</f>
        <v>0.02</v>
      </c>
      <c r="AE13" s="122">
        <f>J13-M13</f>
        <v>0</v>
      </c>
      <c r="AF13" s="124">
        <f t="shared" si="6"/>
        <v>0</v>
      </c>
      <c r="AL13" s="22"/>
      <c r="AM13" s="22"/>
      <c r="AP13">
        <f>+$AP$11</f>
        <v>20.329999999999998</v>
      </c>
      <c r="AQ13" s="4">
        <f>AP13/B13</f>
        <v>0.63531249999999995</v>
      </c>
      <c r="AR13" s="7">
        <f>AV13+AT13</f>
        <v>1.999999999999999E-2</v>
      </c>
      <c r="AT13" s="4">
        <f>M13-M12</f>
        <v>1.999999999999999E-2</v>
      </c>
      <c r="AU13" s="2">
        <f xml:space="preserve"> $E$7*M13</f>
        <v>8160</v>
      </c>
      <c r="AX13" s="4">
        <f>E13*$BC$6</f>
        <v>0.24</v>
      </c>
      <c r="AZ13" s="5">
        <f t="shared" si="10"/>
        <v>0.16532355999999998</v>
      </c>
      <c r="BA13" s="4">
        <f>AP13*$BC$6</f>
        <v>0.40659999999999996</v>
      </c>
      <c r="BC13">
        <v>35</v>
      </c>
    </row>
    <row r="14" spans="1:55" x14ac:dyDescent="0.25">
      <c r="B14" s="329">
        <f t="shared" si="11"/>
        <v>33</v>
      </c>
      <c r="C14" s="328">
        <f>IF(B14&lt;$B$16,B14*$C$7,(B14-(B14-$B$16))*$C$7)</f>
        <v>0.66</v>
      </c>
      <c r="D14" s="15"/>
      <c r="E14" s="253">
        <f t="shared" si="0"/>
        <v>13</v>
      </c>
      <c r="F14" s="254">
        <f t="shared" si="1"/>
        <v>0.39393939393939392</v>
      </c>
      <c r="G14" s="260">
        <f>IF(E14&gt;0,$B$7/B14,100%)</f>
        <v>0.60606060606060608</v>
      </c>
      <c r="H14" s="234">
        <f t="shared" si="9"/>
        <v>1</v>
      </c>
      <c r="I14" s="21"/>
      <c r="J14" s="242">
        <f>E14*$J$7</f>
        <v>0.26</v>
      </c>
      <c r="K14" s="232">
        <f>J14/E14</f>
        <v>0.02</v>
      </c>
      <c r="L14" s="21"/>
      <c r="M14" s="316">
        <f t="shared" si="2"/>
        <v>0.26</v>
      </c>
      <c r="N14" s="296">
        <f>IF(AND(B14&lt;$B$16,M14&gt;0),M14/E14,M14/($B$7*G14))</f>
        <v>0.02</v>
      </c>
      <c r="O14" s="15"/>
      <c r="P14" s="264">
        <f t="shared" si="12"/>
        <v>0.4</v>
      </c>
      <c r="Q14" s="334">
        <f t="shared" si="3"/>
        <v>0.02</v>
      </c>
      <c r="R14" s="282"/>
      <c r="S14" s="301">
        <f t="shared" si="4"/>
        <v>0.4</v>
      </c>
      <c r="T14" s="267">
        <f t="shared" si="5"/>
        <v>0.02</v>
      </c>
      <c r="U14" s="150"/>
      <c r="V14" s="397">
        <f t="shared" si="13"/>
        <v>17091.3</v>
      </c>
      <c r="W14" s="398">
        <f t="shared" si="7"/>
        <v>17091.3</v>
      </c>
      <c r="X14" s="406">
        <f t="shared" si="8"/>
        <v>0</v>
      </c>
      <c r="Y14" s="150"/>
      <c r="Z14" s="367">
        <f>Q14*B14</f>
        <v>0.66</v>
      </c>
      <c r="AA14" s="267">
        <f>S14+M14</f>
        <v>0.66</v>
      </c>
      <c r="AB14" s="150"/>
      <c r="AC14" s="183">
        <f>J14/E14</f>
        <v>0.02</v>
      </c>
      <c r="AD14" s="183">
        <f>M14/E14</f>
        <v>0.02</v>
      </c>
      <c r="AE14" s="122">
        <f>J14-M14</f>
        <v>0</v>
      </c>
      <c r="AF14" s="124">
        <f t="shared" si="6"/>
        <v>0</v>
      </c>
      <c r="AL14" s="23"/>
      <c r="AM14" s="23"/>
      <c r="AP14">
        <f>+$AP$11</f>
        <v>20.329999999999998</v>
      </c>
      <c r="AQ14" s="4">
        <f>AP14/B14</f>
        <v>0.61606060606060598</v>
      </c>
      <c r="AR14" s="7">
        <f>AV14+AT14</f>
        <v>2.0000000000000018E-2</v>
      </c>
      <c r="AT14" s="4">
        <f>M14-M13</f>
        <v>2.0000000000000018E-2</v>
      </c>
      <c r="AU14" s="2">
        <f xml:space="preserve"> $E$7*M14</f>
        <v>8840</v>
      </c>
      <c r="AX14" s="4">
        <f>E14*$BC$6</f>
        <v>0.26</v>
      </c>
      <c r="AZ14" s="5">
        <f t="shared" si="10"/>
        <v>0.16532355999999998</v>
      </c>
      <c r="BA14" s="4">
        <f>AP14*$BC$6</f>
        <v>0.40659999999999996</v>
      </c>
      <c r="BC14">
        <v>36</v>
      </c>
    </row>
    <row r="15" spans="1:55" ht="14.4" thickBot="1" x14ac:dyDescent="0.3">
      <c r="B15" s="347">
        <f t="shared" si="11"/>
        <v>34</v>
      </c>
      <c r="C15" s="349">
        <f>IF(B15&lt;$B$16,B15*$C$7,(B15-(B15-$B$16))*$C$7)</f>
        <v>0.68</v>
      </c>
      <c r="D15" s="15"/>
      <c r="E15" s="253">
        <f t="shared" si="0"/>
        <v>14</v>
      </c>
      <c r="F15" s="254">
        <f t="shared" si="1"/>
        <v>0.41176470588235292</v>
      </c>
      <c r="G15" s="260">
        <f>IF(E15&gt;0,$B$7/B15,100%)</f>
        <v>0.58823529411764708</v>
      </c>
      <c r="H15" s="234">
        <f t="shared" si="9"/>
        <v>1</v>
      </c>
      <c r="I15" s="21"/>
      <c r="J15" s="242">
        <f>E15*$J$7</f>
        <v>0.28000000000000003</v>
      </c>
      <c r="K15" s="232">
        <f>J15/E15</f>
        <v>0.02</v>
      </c>
      <c r="L15" s="21"/>
      <c r="M15" s="316">
        <f t="shared" si="2"/>
        <v>0.28000000000000003</v>
      </c>
      <c r="N15" s="296">
        <f>IF(AND(B15&lt;$B$16,M15&gt;0),M15/E15,M15/($B$7*G15))</f>
        <v>0.02</v>
      </c>
      <c r="O15" s="15"/>
      <c r="P15" s="264">
        <f t="shared" si="12"/>
        <v>0.4</v>
      </c>
      <c r="Q15" s="334">
        <f t="shared" si="3"/>
        <v>0.02</v>
      </c>
      <c r="R15" s="282"/>
      <c r="S15" s="301">
        <f t="shared" si="4"/>
        <v>0.4</v>
      </c>
      <c r="T15" s="267">
        <f t="shared" si="5"/>
        <v>0.02</v>
      </c>
      <c r="U15" s="150"/>
      <c r="V15" s="397">
        <f t="shared" si="13"/>
        <v>17947.800000000003</v>
      </c>
      <c r="W15" s="398">
        <f t="shared" si="7"/>
        <v>17947.800000000003</v>
      </c>
      <c r="X15" s="406">
        <f t="shared" si="8"/>
        <v>0</v>
      </c>
      <c r="Y15" s="150"/>
      <c r="Z15" s="367">
        <f>Q15*B15</f>
        <v>0.68</v>
      </c>
      <c r="AA15" s="267">
        <f>S15+M15</f>
        <v>0.68</v>
      </c>
      <c r="AB15" s="150"/>
      <c r="AC15" s="183">
        <f>J15/E15</f>
        <v>0.02</v>
      </c>
      <c r="AD15" s="183">
        <f>M15/E15</f>
        <v>0.02</v>
      </c>
      <c r="AE15" s="122">
        <f>J15-M15</f>
        <v>0</v>
      </c>
      <c r="AF15" s="124">
        <f t="shared" si="6"/>
        <v>0</v>
      </c>
      <c r="AL15" s="22"/>
      <c r="AM15" s="22"/>
      <c r="AN15" s="71"/>
      <c r="AP15">
        <f>+$AP$11</f>
        <v>20.329999999999998</v>
      </c>
      <c r="AQ15" s="4">
        <f>AP15/B15</f>
        <v>0.5979411764705882</v>
      </c>
      <c r="AR15" s="7">
        <f>AV15+AT15</f>
        <v>2.0000000000000018E-2</v>
      </c>
      <c r="AT15" s="4">
        <f>M15-M14</f>
        <v>2.0000000000000018E-2</v>
      </c>
      <c r="AU15" s="2">
        <f xml:space="preserve"> $E$7*M15</f>
        <v>9520</v>
      </c>
      <c r="AX15" s="4">
        <f>E15*$BC$6</f>
        <v>0.28000000000000003</v>
      </c>
      <c r="BA15" s="4">
        <f>AP15*$BC$6</f>
        <v>0.40659999999999996</v>
      </c>
      <c r="BC15">
        <v>38</v>
      </c>
    </row>
    <row r="16" spans="1:55" ht="14.4" thickBot="1" x14ac:dyDescent="0.3">
      <c r="B16" s="368">
        <f>B15+1</f>
        <v>35</v>
      </c>
      <c r="C16" s="369">
        <f>IF(B16&lt;$B$16,B16*$C$7,(B16-(B16-$B$16))*$C$7)</f>
        <v>0.70000000000000007</v>
      </c>
      <c r="D16" s="32"/>
      <c r="E16" s="363">
        <f t="shared" si="0"/>
        <v>15</v>
      </c>
      <c r="F16" s="371">
        <f t="shared" si="1"/>
        <v>0.42857142857142855</v>
      </c>
      <c r="G16" s="337">
        <f>IF(E16&gt;0,$B$7/B16,100%)</f>
        <v>0.5714285714285714</v>
      </c>
      <c r="H16" s="337">
        <f t="shared" si="9"/>
        <v>1</v>
      </c>
      <c r="I16" s="49"/>
      <c r="J16" s="335">
        <f>E16*$J$7</f>
        <v>0.3</v>
      </c>
      <c r="K16" s="362">
        <f>J16/E16</f>
        <v>0.02</v>
      </c>
      <c r="L16" s="21"/>
      <c r="M16" s="289">
        <f t="shared" si="2"/>
        <v>0.3</v>
      </c>
      <c r="N16" s="289">
        <f>IF(B16&lt;$B$16,M16/E16,M16/E16)</f>
        <v>0.02</v>
      </c>
      <c r="O16" s="282">
        <f>IF(C16&lt;$B$16,N16/F16,N16/($B$7*H16))</f>
        <v>4.6666666666666669E-2</v>
      </c>
      <c r="P16" s="338">
        <f>IF(C16&lt;$C$8,$B$7*$C$7, C16-J16)</f>
        <v>0.40000000000000008</v>
      </c>
      <c r="Q16" s="341">
        <f>(C11-P11)/E11</f>
        <v>1.9999999999999997E-2</v>
      </c>
      <c r="R16" s="310"/>
      <c r="S16" s="289">
        <f t="shared" si="4"/>
        <v>0.4</v>
      </c>
      <c r="T16" s="289">
        <f t="shared" si="5"/>
        <v>0.02</v>
      </c>
      <c r="U16" s="353"/>
      <c r="V16" s="397">
        <f t="shared" si="13"/>
        <v>18804.300000000003</v>
      </c>
      <c r="W16" s="398">
        <f t="shared" si="7"/>
        <v>18804.3</v>
      </c>
      <c r="X16" s="406">
        <f t="shared" si="8"/>
        <v>0</v>
      </c>
      <c r="Y16" s="150"/>
      <c r="Z16" s="367">
        <f>Q16*B16</f>
        <v>0.69999999999999984</v>
      </c>
      <c r="AA16" s="267">
        <f>S16+M16</f>
        <v>0.7</v>
      </c>
      <c r="AB16" s="353"/>
      <c r="AC16" s="184">
        <f>J16/E16</f>
        <v>0.02</v>
      </c>
      <c r="AD16" s="184">
        <f>M16/E16</f>
        <v>0.02</v>
      </c>
      <c r="AE16" s="127">
        <f>J16-M16</f>
        <v>0</v>
      </c>
      <c r="AF16" s="125">
        <f t="shared" si="6"/>
        <v>0</v>
      </c>
      <c r="AL16" s="212"/>
      <c r="AM16" s="22"/>
      <c r="AN16" s="71"/>
      <c r="AP16">
        <f>+$AP$11</f>
        <v>20.329999999999998</v>
      </c>
      <c r="AQ16" s="4"/>
      <c r="AR16" s="7"/>
      <c r="AT16" s="4"/>
      <c r="AU16" s="2"/>
      <c r="AX16" s="4"/>
      <c r="BA16" s="4"/>
    </row>
    <row r="17" spans="2:55" ht="14.4" thickBot="1" x14ac:dyDescent="0.3">
      <c r="B17" s="368">
        <f>B16+0.33</f>
        <v>35.33</v>
      </c>
      <c r="C17" s="369">
        <f>IF(B17&lt;$B$16,B17*$C$7,(B17-(B17-$B$16))*$C$7)</f>
        <v>0.70000000000000007</v>
      </c>
      <c r="D17" s="32"/>
      <c r="E17" s="363">
        <f t="shared" si="0"/>
        <v>15.329999999999998</v>
      </c>
      <c r="F17" s="371">
        <f t="shared" si="1"/>
        <v>0.43390885932635154</v>
      </c>
      <c r="G17" s="337">
        <f>IF(E17&gt;0,$B$7/B17,100%)</f>
        <v>0.56609114067364852</v>
      </c>
      <c r="H17" s="337">
        <f t="shared" si="9"/>
        <v>1</v>
      </c>
      <c r="I17" s="49"/>
      <c r="J17" s="335">
        <f>E17*$J$7</f>
        <v>0.30659999999999998</v>
      </c>
      <c r="K17" s="362">
        <f>J17/E17</f>
        <v>0.02</v>
      </c>
      <c r="L17" s="21"/>
      <c r="M17" s="289">
        <f t="shared" si="2"/>
        <v>0.3037362015284461</v>
      </c>
      <c r="N17" s="342">
        <f>IF(B17&lt;$B$16,M17/E17,M17/E17)</f>
        <v>1.9813189923577699E-2</v>
      </c>
      <c r="O17" s="282">
        <f>IF(C17&lt;$B$16,N17/F17,N17/($B$7*H17))</f>
        <v>4.5662100456621009E-2</v>
      </c>
      <c r="P17" s="338">
        <f>IF(C17&lt;$C$8,$B$7*$C$7, C17-J17)</f>
        <v>0.39340000000000008</v>
      </c>
      <c r="Q17" s="341">
        <f>(C12-P12)/E12</f>
        <v>1.9999999999999997E-2</v>
      </c>
      <c r="R17" s="310"/>
      <c r="S17" s="289">
        <f t="shared" si="4"/>
        <v>0.39626379847155402</v>
      </c>
      <c r="T17" s="346">
        <f t="shared" si="5"/>
        <v>1.9813189923577702E-2</v>
      </c>
      <c r="U17" s="353"/>
      <c r="V17" s="397">
        <f t="shared" si="13"/>
        <v>18988.657800000001</v>
      </c>
      <c r="W17" s="398">
        <f t="shared" si="7"/>
        <v>18908.663317294086</v>
      </c>
      <c r="X17" s="407">
        <f t="shared" si="8"/>
        <v>-79.994482705915289</v>
      </c>
      <c r="Y17" s="150"/>
      <c r="Z17" s="367">
        <f>Q17*B17</f>
        <v>0.70659999999999989</v>
      </c>
      <c r="AA17" s="267">
        <f>S17+M17</f>
        <v>0.70000000000000018</v>
      </c>
      <c r="AB17" s="150"/>
      <c r="AC17" s="184"/>
      <c r="AD17" s="184"/>
      <c r="AE17" s="127"/>
      <c r="AF17" s="125"/>
      <c r="AL17" s="212"/>
      <c r="AM17" s="22"/>
      <c r="AN17" s="71"/>
      <c r="AQ17" s="4"/>
      <c r="AR17" s="7"/>
      <c r="AT17" s="4"/>
      <c r="AU17" s="2"/>
      <c r="AX17" s="4"/>
      <c r="BA17" s="4"/>
    </row>
    <row r="18" spans="2:55" x14ac:dyDescent="0.25">
      <c r="B18" s="348">
        <f>B16+1</f>
        <v>36</v>
      </c>
      <c r="C18" s="350">
        <f>IF(B18&lt;$B$16,B18*#REF!,(B18-(B18-$B$16))*$C$7)</f>
        <v>0.70000000000000007</v>
      </c>
      <c r="D18" s="29"/>
      <c r="E18" s="253">
        <f t="shared" si="0"/>
        <v>16</v>
      </c>
      <c r="F18" s="256">
        <f t="shared" si="1"/>
        <v>0.44444444444444442</v>
      </c>
      <c r="G18" s="410">
        <f t="shared" ref="G18:G24" si="14">IF(E18&gt;0,$B$7/B18,100%)</f>
        <v>0.55555555555555558</v>
      </c>
      <c r="H18" s="234">
        <f t="shared" si="9"/>
        <v>1</v>
      </c>
      <c r="I18" s="20"/>
      <c r="J18" s="242">
        <f>E18*$J$7</f>
        <v>0.32</v>
      </c>
      <c r="K18" s="232">
        <f>J18/E18</f>
        <v>0.02</v>
      </c>
      <c r="L18" s="21"/>
      <c r="M18" s="317">
        <f t="shared" ref="M18:M19" si="15">E18/B18*C18</f>
        <v>0.31111111111111112</v>
      </c>
      <c r="N18" s="342">
        <f t="shared" ref="N18:N37" si="16">IF(B18&lt;$B$16,M18/E18,M18/E18)</f>
        <v>1.9444444444444445E-2</v>
      </c>
      <c r="O18" s="25"/>
      <c r="P18" s="264">
        <f t="shared" ref="P18:P37" si="17">IF(C18&lt;$C$8,$B$7*$C$7, C18-J18)</f>
        <v>0.38000000000000006</v>
      </c>
      <c r="Q18" s="340">
        <f>(C13-P13)/E13</f>
        <v>0.02</v>
      </c>
      <c r="R18" s="150"/>
      <c r="S18" s="301">
        <f t="shared" si="4"/>
        <v>0.38888888888888895</v>
      </c>
      <c r="T18" s="345">
        <f t="shared" si="5"/>
        <v>1.9444444444444448E-2</v>
      </c>
      <c r="U18" s="354"/>
      <c r="V18" s="397">
        <f t="shared" si="13"/>
        <v>19362.96</v>
      </c>
      <c r="W18" s="398">
        <f t="shared" si="7"/>
        <v>19114.666666666668</v>
      </c>
      <c r="X18" s="407">
        <f t="shared" si="8"/>
        <v>-248.29333333333125</v>
      </c>
      <c r="Y18" s="354"/>
      <c r="Z18" s="367">
        <f>Q18*B18</f>
        <v>0.72</v>
      </c>
      <c r="AA18" s="267">
        <f>S18+M18</f>
        <v>0.70000000000000007</v>
      </c>
      <c r="AB18" s="354"/>
      <c r="AC18" s="183">
        <f>J18/E18</f>
        <v>0.02</v>
      </c>
      <c r="AD18" s="185">
        <f>M18/E18</f>
        <v>1.9444444444444445E-2</v>
      </c>
      <c r="AE18" s="162">
        <f>-J18+M18</f>
        <v>-8.8888888888888906E-3</v>
      </c>
      <c r="AF18" s="165">
        <f t="shared" ref="AF18:AF37" si="18">((AD18/$C$7)-1)</f>
        <v>-2.777777777777779E-2</v>
      </c>
      <c r="AL18" s="24"/>
      <c r="AM18" s="24"/>
      <c r="AP18">
        <f>+$AP$11</f>
        <v>20.329999999999998</v>
      </c>
      <c r="AQ18" s="4">
        <f>AP18/B18</f>
        <v>0.56472222222222213</v>
      </c>
      <c r="AR18" s="7">
        <f t="shared" ref="AR18:AR33" si="19">AV18+AT18</f>
        <v>0</v>
      </c>
      <c r="AT18" s="4"/>
      <c r="AU18" s="2">
        <f xml:space="preserve"> $E$7*M18</f>
        <v>10577.777777777777</v>
      </c>
      <c r="AX18" s="4">
        <f>E18*$BC$6</f>
        <v>0.32</v>
      </c>
      <c r="BA18" s="4">
        <f>AP18*$BC$6</f>
        <v>0.40659999999999996</v>
      </c>
      <c r="BC18">
        <v>42.33</v>
      </c>
    </row>
    <row r="19" spans="2:55" x14ac:dyDescent="0.25">
      <c r="B19" s="329">
        <f t="shared" ref="B19:B23" si="20">B18+1</f>
        <v>37</v>
      </c>
      <c r="C19" s="328">
        <f>IF(B19&lt;$B$16,B19*J8,(B19-(B19-$B$16))*$C$7)</f>
        <v>0.70000000000000007</v>
      </c>
      <c r="D19" s="29"/>
      <c r="E19" s="253">
        <f t="shared" si="0"/>
        <v>17</v>
      </c>
      <c r="F19" s="256">
        <f t="shared" si="1"/>
        <v>0.45945945945945948</v>
      </c>
      <c r="G19" s="410">
        <f t="shared" si="14"/>
        <v>0.54054054054054057</v>
      </c>
      <c r="H19" s="234">
        <f t="shared" si="9"/>
        <v>1</v>
      </c>
      <c r="I19" s="20"/>
      <c r="J19" s="242">
        <f>E19*$J$7</f>
        <v>0.34</v>
      </c>
      <c r="K19" s="232">
        <f>J19/E19</f>
        <v>0.02</v>
      </c>
      <c r="L19" s="21"/>
      <c r="M19" s="317">
        <f t="shared" si="15"/>
        <v>0.32162162162162167</v>
      </c>
      <c r="N19" s="342">
        <f t="shared" si="16"/>
        <v>1.891891891891892E-2</v>
      </c>
      <c r="O19" s="15"/>
      <c r="P19" s="264">
        <f t="shared" si="17"/>
        <v>0.36000000000000004</v>
      </c>
      <c r="Q19" s="340">
        <f>(C14-P14)/E14</f>
        <v>0.02</v>
      </c>
      <c r="R19" s="282"/>
      <c r="S19" s="301">
        <f t="shared" si="4"/>
        <v>0.37837837837837845</v>
      </c>
      <c r="T19" s="345">
        <f t="shared" si="5"/>
        <v>1.8918918918918923E-2</v>
      </c>
      <c r="U19" s="354"/>
      <c r="V19" s="397">
        <f t="shared" si="13"/>
        <v>19921.620000000003</v>
      </c>
      <c r="W19" s="398">
        <f t="shared" si="7"/>
        <v>19408.25675675676</v>
      </c>
      <c r="X19" s="407">
        <f t="shared" si="8"/>
        <v>-513.36324324324232</v>
      </c>
      <c r="Y19" s="354"/>
      <c r="Z19" s="367">
        <f>Q19*B19</f>
        <v>0.74</v>
      </c>
      <c r="AA19" s="267">
        <f>S19+M19</f>
        <v>0.70000000000000018</v>
      </c>
      <c r="AB19" s="354"/>
      <c r="AC19" s="183">
        <f>J19/E19</f>
        <v>0.02</v>
      </c>
      <c r="AD19" s="185">
        <f>M19/E19</f>
        <v>1.891891891891892E-2</v>
      </c>
      <c r="AE19" s="162">
        <f>-J19+M19</f>
        <v>-1.8378378378378357E-2</v>
      </c>
      <c r="AF19" s="165">
        <f t="shared" si="18"/>
        <v>-5.4054054054054057E-2</v>
      </c>
      <c r="AL19" s="24"/>
      <c r="AM19" s="24"/>
      <c r="AP19">
        <f>+$AP$11</f>
        <v>20.329999999999998</v>
      </c>
      <c r="AQ19" s="4">
        <f>AP19/B19</f>
        <v>0.5494594594594594</v>
      </c>
      <c r="AR19" s="7">
        <f t="shared" si="19"/>
        <v>0</v>
      </c>
      <c r="AT19" s="4"/>
      <c r="AU19" s="2">
        <f xml:space="preserve"> $E$7*M19</f>
        <v>10935.135135135137</v>
      </c>
      <c r="AX19" s="4">
        <f>E19*$BC$6</f>
        <v>0.34</v>
      </c>
    </row>
    <row r="20" spans="2:55" x14ac:dyDescent="0.25">
      <c r="B20" s="329">
        <f t="shared" si="20"/>
        <v>38</v>
      </c>
      <c r="C20" s="328">
        <f>IF(B20&lt;$B$16,B20*J9,(B20-(B20-$B$16))*$C$7)</f>
        <v>0.70000000000000007</v>
      </c>
      <c r="D20" s="29"/>
      <c r="E20" s="253">
        <f t="shared" si="0"/>
        <v>18</v>
      </c>
      <c r="F20" s="254">
        <f t="shared" si="1"/>
        <v>0.47368421052631576</v>
      </c>
      <c r="G20" s="410">
        <f t="shared" si="14"/>
        <v>0.52631578947368418</v>
      </c>
      <c r="H20" s="234">
        <f t="shared" si="9"/>
        <v>1</v>
      </c>
      <c r="I20" s="21"/>
      <c r="J20" s="242">
        <f>E20*$J$7</f>
        <v>0.36</v>
      </c>
      <c r="K20" s="232">
        <f>J20/E20</f>
        <v>0.02</v>
      </c>
      <c r="L20" s="21"/>
      <c r="M20" s="316">
        <f>F20*C20</f>
        <v>0.33157894736842108</v>
      </c>
      <c r="N20" s="342">
        <f t="shared" si="16"/>
        <v>1.8421052631578949E-2</v>
      </c>
      <c r="O20" s="15"/>
      <c r="P20" s="264">
        <f t="shared" si="17"/>
        <v>0.34000000000000008</v>
      </c>
      <c r="Q20" s="340">
        <f>(C15-P15)/E15</f>
        <v>0.02</v>
      </c>
      <c r="R20" s="282"/>
      <c r="S20" s="301">
        <f t="shared" si="4"/>
        <v>0.36842105263157898</v>
      </c>
      <c r="T20" s="345">
        <f t="shared" si="5"/>
        <v>1.8421052631578949E-2</v>
      </c>
      <c r="U20" s="354"/>
      <c r="V20" s="397">
        <f t="shared" si="13"/>
        <v>20480.280000000002</v>
      </c>
      <c r="W20" s="398">
        <f t="shared" si="7"/>
        <v>19686.394736842107</v>
      </c>
      <c r="X20" s="407">
        <f t="shared" si="8"/>
        <v>-793.88526315789568</v>
      </c>
      <c r="Y20" s="354"/>
      <c r="Z20" s="367">
        <f>Q20*B20</f>
        <v>0.76</v>
      </c>
      <c r="AA20" s="267">
        <f>S20+M20</f>
        <v>0.70000000000000007</v>
      </c>
      <c r="AB20" s="354"/>
      <c r="AC20" s="183">
        <f>J20/E20</f>
        <v>0.02</v>
      </c>
      <c r="AD20" s="185">
        <f>M20/E20</f>
        <v>1.8421052631578949E-2</v>
      </c>
      <c r="AE20" s="162">
        <f>-J20+M20</f>
        <v>-2.8421052631578902E-2</v>
      </c>
      <c r="AF20" s="165">
        <f t="shared" si="18"/>
        <v>-7.8947368421052544E-2</v>
      </c>
      <c r="AL20" s="24"/>
      <c r="AM20" s="24"/>
      <c r="AP20">
        <f>+$AP$11</f>
        <v>20.329999999999998</v>
      </c>
      <c r="AQ20" s="4">
        <f>AP20/B20</f>
        <v>0.53499999999999992</v>
      </c>
      <c r="AR20" s="7">
        <f t="shared" si="19"/>
        <v>0</v>
      </c>
      <c r="AT20" s="4"/>
      <c r="AU20" s="2">
        <f xml:space="preserve"> $E$7*M20</f>
        <v>11273.684210526317</v>
      </c>
      <c r="AX20" s="4">
        <f>E20*$BC$6</f>
        <v>0.36</v>
      </c>
    </row>
    <row r="21" spans="2:55" x14ac:dyDescent="0.25">
      <c r="B21" s="329">
        <f t="shared" si="20"/>
        <v>39</v>
      </c>
      <c r="C21" s="328">
        <f>IF(B21&lt;$B$16,B21*J11,(B21-(B21-$B$16))*$C$7)</f>
        <v>0.70000000000000007</v>
      </c>
      <c r="D21" s="29"/>
      <c r="E21" s="253">
        <f t="shared" si="0"/>
        <v>19</v>
      </c>
      <c r="F21" s="254">
        <f t="shared" si="1"/>
        <v>0.48717948717948717</v>
      </c>
      <c r="G21" s="410">
        <f t="shared" si="14"/>
        <v>0.51282051282051277</v>
      </c>
      <c r="H21" s="234">
        <f t="shared" si="9"/>
        <v>1</v>
      </c>
      <c r="I21" s="21"/>
      <c r="J21" s="242">
        <f>E21*$J$7</f>
        <v>0.38</v>
      </c>
      <c r="K21" s="232">
        <f>J21/E21</f>
        <v>0.02</v>
      </c>
      <c r="L21" s="21"/>
      <c r="M21" s="316">
        <f>F21*C21</f>
        <v>0.34102564102564104</v>
      </c>
      <c r="N21" s="342">
        <f t="shared" si="16"/>
        <v>1.7948717948717951E-2</v>
      </c>
      <c r="O21" s="15"/>
      <c r="P21" s="264">
        <f t="shared" si="17"/>
        <v>0.32000000000000006</v>
      </c>
      <c r="Q21" s="340">
        <f>(C16-P16)/E16</f>
        <v>0.02</v>
      </c>
      <c r="R21" s="282"/>
      <c r="S21" s="301">
        <f t="shared" si="4"/>
        <v>0.35897435897435898</v>
      </c>
      <c r="T21" s="345">
        <f t="shared" si="5"/>
        <v>1.7948717948717947E-2</v>
      </c>
      <c r="U21" s="354"/>
      <c r="V21" s="397">
        <f t="shared" si="13"/>
        <v>21038.940000000002</v>
      </c>
      <c r="W21" s="398">
        <f t="shared" si="7"/>
        <v>19950.269230769234</v>
      </c>
      <c r="X21" s="407">
        <f t="shared" si="8"/>
        <v>-1088.6707692307682</v>
      </c>
      <c r="Y21" s="354"/>
      <c r="Z21" s="367">
        <f>Q21*B21</f>
        <v>0.78</v>
      </c>
      <c r="AA21" s="267">
        <f>S21+M21</f>
        <v>0.7</v>
      </c>
      <c r="AB21" s="354"/>
      <c r="AC21" s="184">
        <f>J21/E21</f>
        <v>0.02</v>
      </c>
      <c r="AD21" s="185">
        <f>M21/E21</f>
        <v>1.7948717948717951E-2</v>
      </c>
      <c r="AE21" s="162">
        <f>-J21+M21</f>
        <v>-3.8974358974358969E-2</v>
      </c>
      <c r="AF21" s="165">
        <f t="shared" si="18"/>
        <v>-0.10256410256410242</v>
      </c>
      <c r="AL21" s="24"/>
      <c r="AM21" s="24"/>
      <c r="AP21">
        <f>+$AP$11</f>
        <v>20.329999999999998</v>
      </c>
      <c r="AQ21" s="4">
        <f>AP21/B21</f>
        <v>0.52128205128205118</v>
      </c>
      <c r="AR21" s="7">
        <f t="shared" si="19"/>
        <v>0</v>
      </c>
      <c r="AT21" s="4"/>
      <c r="AU21" s="2">
        <f xml:space="preserve"> $E$7*M21</f>
        <v>11594.871794871795</v>
      </c>
      <c r="AX21" s="4">
        <f>E21*$BC$6</f>
        <v>0.38</v>
      </c>
    </row>
    <row r="22" spans="2:55" x14ac:dyDescent="0.25">
      <c r="B22" s="329">
        <f t="shared" si="20"/>
        <v>40</v>
      </c>
      <c r="C22" s="328">
        <f>IF(B22&lt;$B$16,B22*J12,(B22-(B22-$B$16))*$C$7)</f>
        <v>0.70000000000000007</v>
      </c>
      <c r="D22" s="29"/>
      <c r="E22" s="253">
        <f t="shared" si="0"/>
        <v>20</v>
      </c>
      <c r="F22" s="254">
        <f t="shared" si="1"/>
        <v>0.5</v>
      </c>
      <c r="G22" s="410">
        <f t="shared" si="14"/>
        <v>0.5</v>
      </c>
      <c r="H22" s="234">
        <f t="shared" si="9"/>
        <v>1</v>
      </c>
      <c r="I22" s="21"/>
      <c r="J22" s="242">
        <f>E22*$J$7</f>
        <v>0.4</v>
      </c>
      <c r="K22" s="232">
        <f>J22/E22</f>
        <v>0.02</v>
      </c>
      <c r="L22" s="21"/>
      <c r="M22" s="316">
        <f>F22*C22</f>
        <v>0.35000000000000003</v>
      </c>
      <c r="N22" s="342">
        <f t="shared" si="16"/>
        <v>1.7500000000000002E-2</v>
      </c>
      <c r="O22" s="15"/>
      <c r="P22" s="264">
        <f t="shared" si="17"/>
        <v>0.30000000000000004</v>
      </c>
      <c r="Q22" s="340" t="e">
        <f>(#REF!-#REF!)/#REF!</f>
        <v>#REF!</v>
      </c>
      <c r="R22" s="282"/>
      <c r="S22" s="301">
        <f t="shared" si="4"/>
        <v>0.35000000000000003</v>
      </c>
      <c r="T22" s="345">
        <f t="shared" si="5"/>
        <v>1.7500000000000002E-2</v>
      </c>
      <c r="U22" s="354"/>
      <c r="V22" s="397">
        <f t="shared" si="13"/>
        <v>21597.599999999999</v>
      </c>
      <c r="W22" s="398">
        <f t="shared" si="7"/>
        <v>20200.950000000004</v>
      </c>
      <c r="X22" s="407">
        <f t="shared" si="8"/>
        <v>-1396.6499999999942</v>
      </c>
      <c r="Y22" s="354"/>
      <c r="Z22" s="367" t="e">
        <f>Q22*B22</f>
        <v>#REF!</v>
      </c>
      <c r="AA22" s="267">
        <f>S22+M22</f>
        <v>0.70000000000000007</v>
      </c>
      <c r="AB22" s="354"/>
      <c r="AC22" s="183">
        <f>J22/E22</f>
        <v>0.02</v>
      </c>
      <c r="AD22" s="185">
        <f>M22/E22</f>
        <v>1.7500000000000002E-2</v>
      </c>
      <c r="AE22" s="162">
        <f>-J22+M22</f>
        <v>-4.9999999999999989E-2</v>
      </c>
      <c r="AF22" s="165">
        <f t="shared" si="18"/>
        <v>-0.12499999999999989</v>
      </c>
      <c r="AL22" s="24"/>
      <c r="AM22" s="24"/>
      <c r="AP22">
        <f>+$AP$11</f>
        <v>20.329999999999998</v>
      </c>
      <c r="AQ22" s="4">
        <f>AP22/B22</f>
        <v>0.50824999999999998</v>
      </c>
      <c r="AR22" s="7">
        <f t="shared" si="19"/>
        <v>0</v>
      </c>
      <c r="AT22" s="4"/>
      <c r="AU22" s="2">
        <f xml:space="preserve"> $E$7*M22</f>
        <v>11900.000000000002</v>
      </c>
      <c r="AX22" s="4">
        <f>E22*$BC$6</f>
        <v>0.4</v>
      </c>
    </row>
    <row r="23" spans="2:55" x14ac:dyDescent="0.25">
      <c r="B23" s="329">
        <f t="shared" si="20"/>
        <v>41</v>
      </c>
      <c r="C23" s="328">
        <f>IF(B23&lt;$B$16,B23*J13,(B23-(B23-$B$16))*$C$7)</f>
        <v>0.70000000000000007</v>
      </c>
      <c r="D23" s="29"/>
      <c r="E23" s="253">
        <f t="shared" si="0"/>
        <v>21</v>
      </c>
      <c r="F23" s="254">
        <f t="shared" si="1"/>
        <v>0.51219512195121952</v>
      </c>
      <c r="G23" s="410">
        <f t="shared" si="14"/>
        <v>0.48780487804878048</v>
      </c>
      <c r="H23" s="234">
        <f t="shared" si="9"/>
        <v>1</v>
      </c>
      <c r="I23" s="21"/>
      <c r="J23" s="242">
        <f>E23*$J$7</f>
        <v>0.42</v>
      </c>
      <c r="K23" s="232">
        <f>J23/E23</f>
        <v>0.02</v>
      </c>
      <c r="L23" s="21"/>
      <c r="M23" s="316">
        <f>F23*C23</f>
        <v>0.3585365853658537</v>
      </c>
      <c r="N23" s="342">
        <f t="shared" si="16"/>
        <v>1.7073170731707318E-2</v>
      </c>
      <c r="O23" s="15"/>
      <c r="P23" s="264">
        <f t="shared" si="17"/>
        <v>0.28000000000000008</v>
      </c>
      <c r="Q23" s="340">
        <f t="shared" ref="Q23:Q33" si="21">(C18-P18)/E18</f>
        <v>0.02</v>
      </c>
      <c r="R23" s="282"/>
      <c r="S23" s="301">
        <f t="shared" si="4"/>
        <v>0.34146341463414637</v>
      </c>
      <c r="T23" s="345">
        <f t="shared" si="5"/>
        <v>1.7073170731707318E-2</v>
      </c>
      <c r="U23" s="354"/>
      <c r="V23" s="397">
        <f t="shared" si="13"/>
        <v>22156.260000000002</v>
      </c>
      <c r="W23" s="398">
        <f t="shared" si="7"/>
        <v>20439.40243902439</v>
      </c>
      <c r="X23" s="407">
        <f t="shared" si="8"/>
        <v>-1716.8575609756117</v>
      </c>
      <c r="Y23" s="354"/>
      <c r="Z23" s="367">
        <f>Q23*B23</f>
        <v>0.82000000000000006</v>
      </c>
      <c r="AA23" s="267">
        <f>S23+M23</f>
        <v>0.70000000000000007</v>
      </c>
      <c r="AB23" s="354"/>
      <c r="AC23" s="183">
        <f>J23/E23</f>
        <v>0.02</v>
      </c>
      <c r="AD23" s="185">
        <f>M23/E23</f>
        <v>1.7073170731707318E-2</v>
      </c>
      <c r="AE23" s="162">
        <f>-J23+M23</f>
        <v>-6.1463414634146285E-2</v>
      </c>
      <c r="AF23" s="165">
        <f>((AD23/$C$7)-1)</f>
        <v>-0.14634146341463405</v>
      </c>
      <c r="AL23" s="24"/>
      <c r="AM23" s="24"/>
      <c r="AP23">
        <f>+$AP$11</f>
        <v>20.329999999999998</v>
      </c>
      <c r="AQ23" s="4">
        <f>AP23/B23</f>
        <v>0.49585365853658531</v>
      </c>
      <c r="AR23" s="7">
        <f t="shared" si="19"/>
        <v>0</v>
      </c>
      <c r="AT23" s="4"/>
      <c r="AU23" s="2">
        <f xml:space="preserve"> $E$7*M23</f>
        <v>12190.243902439026</v>
      </c>
      <c r="AX23" s="4">
        <f>E23*$BC$6</f>
        <v>0.42</v>
      </c>
    </row>
    <row r="24" spans="2:55" ht="14.4" thickBot="1" x14ac:dyDescent="0.3">
      <c r="B24" s="347">
        <f>B23+0.33</f>
        <v>41.33</v>
      </c>
      <c r="C24" s="349">
        <f>IF(B24&lt;$B$16,B24*J14,(B24-(B24-$B$16))*$C$7)</f>
        <v>0.70000000000000007</v>
      </c>
      <c r="D24" s="29"/>
      <c r="E24" s="253">
        <f t="shared" si="0"/>
        <v>21.33</v>
      </c>
      <c r="F24" s="254">
        <f t="shared" si="1"/>
        <v>0.51609000725864984</v>
      </c>
      <c r="G24" s="410">
        <f t="shared" si="14"/>
        <v>0.4839099927413501</v>
      </c>
      <c r="H24" s="234">
        <f t="shared" si="9"/>
        <v>1</v>
      </c>
      <c r="I24" s="21"/>
      <c r="J24" s="242">
        <f>E24*$J$7</f>
        <v>0.42659999999999998</v>
      </c>
      <c r="K24" s="232">
        <f>J24/E24</f>
        <v>0.02</v>
      </c>
      <c r="L24" s="21"/>
      <c r="M24" s="316">
        <f>F24*C24</f>
        <v>0.36126300508105491</v>
      </c>
      <c r="N24" s="342">
        <f t="shared" si="16"/>
        <v>1.6936849745947256E-2</v>
      </c>
      <c r="O24" s="15"/>
      <c r="P24" s="264">
        <f t="shared" si="17"/>
        <v>0.27340000000000009</v>
      </c>
      <c r="Q24" s="340">
        <f t="shared" si="21"/>
        <v>0.02</v>
      </c>
      <c r="R24" s="282"/>
      <c r="S24" s="301">
        <f t="shared" si="4"/>
        <v>0.3387369949189451</v>
      </c>
      <c r="T24" s="345">
        <f t="shared" si="5"/>
        <v>1.6936849745947256E-2</v>
      </c>
      <c r="U24" s="354"/>
      <c r="V24" s="397">
        <f t="shared" si="13"/>
        <v>22340.6178</v>
      </c>
      <c r="W24" s="398">
        <f t="shared" si="7"/>
        <v>20515.559520929106</v>
      </c>
      <c r="X24" s="407">
        <f t="shared" si="8"/>
        <v>-1825.0582790708941</v>
      </c>
      <c r="Y24" s="354"/>
      <c r="Z24" s="367">
        <f>Q24*B24</f>
        <v>0.8266</v>
      </c>
      <c r="AA24" s="267">
        <f>S24+M24</f>
        <v>0.7</v>
      </c>
      <c r="AB24" s="354"/>
      <c r="AC24" s="183">
        <f>J24/E24</f>
        <v>0.02</v>
      </c>
      <c r="AD24" s="185">
        <f>M24/E24</f>
        <v>1.6936849745947256E-2</v>
      </c>
      <c r="AE24" s="162">
        <f>-J24+M24</f>
        <v>-6.5336994918945068E-2</v>
      </c>
      <c r="AF24" s="165">
        <f>((AD24/$C$7)-1)</f>
        <v>-0.15315751270263722</v>
      </c>
      <c r="AL24" s="24"/>
      <c r="AM24" s="24"/>
      <c r="AQ24" s="4"/>
      <c r="AR24" s="7"/>
      <c r="AT24" s="4"/>
      <c r="AU24" s="2"/>
      <c r="AX24" s="4"/>
    </row>
    <row r="25" spans="2:55" ht="14.4" thickBot="1" x14ac:dyDescent="0.3">
      <c r="B25" s="302">
        <f>B24+1</f>
        <v>42.33</v>
      </c>
      <c r="C25" s="172">
        <f>IF(B25&lt;$B$16,B25*J15,(B25-(B25-$B$16))*$C$7)</f>
        <v>0.70000000000000007</v>
      </c>
      <c r="D25" s="29"/>
      <c r="E25" s="358">
        <f t="shared" si="0"/>
        <v>22.33</v>
      </c>
      <c r="F25" s="21">
        <f>E25/B25</f>
        <v>0.52752185211433966</v>
      </c>
      <c r="G25" s="356">
        <f>$B$7/B25</f>
        <v>0.47247814788566028</v>
      </c>
      <c r="H25" s="234">
        <f t="shared" si="9"/>
        <v>1</v>
      </c>
      <c r="I25" s="21"/>
      <c r="J25" s="270">
        <f>E25*$J$7</f>
        <v>0.4466</v>
      </c>
      <c r="K25" s="270">
        <f>J25/E25</f>
        <v>0.02</v>
      </c>
      <c r="L25" s="21"/>
      <c r="M25" s="267">
        <f>F25*C25</f>
        <v>0.36926529648003781</v>
      </c>
      <c r="N25" s="345">
        <f>IF(B25&lt;$B$16,M25/E25,M25/E25)</f>
        <v>1.6536735175998112E-2</v>
      </c>
      <c r="O25" s="15"/>
      <c r="P25" s="370">
        <f t="shared" si="17"/>
        <v>0.25340000000000007</v>
      </c>
      <c r="Q25" s="370">
        <f t="shared" si="21"/>
        <v>0.02</v>
      </c>
      <c r="R25" s="282"/>
      <c r="S25" s="289">
        <f t="shared" si="4"/>
        <v>0.3307347035199622</v>
      </c>
      <c r="T25" s="346">
        <f t="shared" si="5"/>
        <v>1.6536735175998109E-2</v>
      </c>
      <c r="U25" s="355"/>
      <c r="V25" s="408">
        <f t="shared" si="13"/>
        <v>22899.277800000003</v>
      </c>
      <c r="W25" s="409">
        <f t="shared" si="7"/>
        <v>20739.087526576895</v>
      </c>
      <c r="X25" s="414">
        <f t="shared" si="8"/>
        <v>-2160.190273423108</v>
      </c>
      <c r="Y25" s="354"/>
      <c r="Z25" s="367">
        <f>Q25*B25</f>
        <v>0.84660000000000002</v>
      </c>
      <c r="AA25" s="267">
        <f>S25+M25</f>
        <v>0.7</v>
      </c>
      <c r="AB25" s="355"/>
      <c r="AC25" s="181">
        <f>J25/E25</f>
        <v>0.02</v>
      </c>
      <c r="AD25" s="186">
        <f>M25/E25</f>
        <v>1.6536735175998112E-2</v>
      </c>
      <c r="AE25" s="163">
        <f>-J25+M25</f>
        <v>-7.7334703519962189E-2</v>
      </c>
      <c r="AF25" s="166">
        <f t="shared" si="18"/>
        <v>-0.17316324120009441</v>
      </c>
      <c r="AL25" s="24"/>
      <c r="AM25" s="24"/>
      <c r="AP25">
        <f>+$AP$11</f>
        <v>20.329999999999998</v>
      </c>
      <c r="AQ25" s="4">
        <f>AP25/B25</f>
        <v>0.48027403732577367</v>
      </c>
      <c r="AR25" s="7">
        <f t="shared" si="19"/>
        <v>0</v>
      </c>
      <c r="AT25" s="4"/>
      <c r="AU25" s="2">
        <f xml:space="preserve"> $E$7*M25</f>
        <v>12555.020080321285</v>
      </c>
      <c r="AX25" s="4">
        <f>E25*$BC$6</f>
        <v>0.4466</v>
      </c>
    </row>
    <row r="26" spans="2:55" ht="14.4" thickBot="1" x14ac:dyDescent="0.3">
      <c r="B26" s="348">
        <f>B25+0.34</f>
        <v>42.67</v>
      </c>
      <c r="C26" s="350">
        <f>IF(B26&lt;$B$16,B26*J16,(B26-(B26-$B$16))*$C$7)</f>
        <v>0.70000000000000007</v>
      </c>
      <c r="D26" s="29"/>
      <c r="E26" s="358">
        <f t="shared" si="0"/>
        <v>22.67</v>
      </c>
      <c r="F26" s="337">
        <f>E26/B26</f>
        <v>0.53128661823295054</v>
      </c>
      <c r="G26" s="356">
        <f>$B$7/B26</f>
        <v>0.46871338176704941</v>
      </c>
      <c r="H26" s="234">
        <f t="shared" si="9"/>
        <v>1</v>
      </c>
      <c r="I26" s="21"/>
      <c r="J26" s="291">
        <f>E26*$J$7</f>
        <v>0.45340000000000003</v>
      </c>
      <c r="K26" s="291">
        <f>J26/E26</f>
        <v>0.02</v>
      </c>
      <c r="L26" s="21"/>
      <c r="M26" s="412">
        <f>F26*C26</f>
        <v>0.3719006327630654</v>
      </c>
      <c r="N26" s="346">
        <f>IF(B26&lt;$B$16,M26/E26,M26/E26)</f>
        <v>1.6404968361846729E-2</v>
      </c>
      <c r="O26" s="411"/>
      <c r="P26" s="338">
        <f t="shared" si="17"/>
        <v>0.24660000000000004</v>
      </c>
      <c r="Q26" s="413">
        <f>(C21-P21)/E21</f>
        <v>0.02</v>
      </c>
      <c r="R26" s="282"/>
      <c r="S26" s="289">
        <f t="shared" si="4"/>
        <v>0.32809936723693461</v>
      </c>
      <c r="T26" s="346">
        <f t="shared" si="5"/>
        <v>1.6404968361846732E-2</v>
      </c>
      <c r="U26" s="354"/>
      <c r="V26" s="397">
        <f t="shared" si="13"/>
        <v>23089.2222</v>
      </c>
      <c r="W26" s="398">
        <f t="shared" si="7"/>
        <v>20812.700374970707</v>
      </c>
      <c r="X26" s="407">
        <f t="shared" si="8"/>
        <v>-2276.5218250292928</v>
      </c>
      <c r="Y26" s="354"/>
      <c r="Z26" s="367">
        <f>Q26*B26</f>
        <v>0.85340000000000005</v>
      </c>
      <c r="AA26" s="267">
        <f>S26+M26</f>
        <v>0.7</v>
      </c>
      <c r="AB26" s="354"/>
      <c r="AC26" s="183">
        <f>J26/E26</f>
        <v>0.02</v>
      </c>
      <c r="AD26" s="185">
        <f>M26/E26</f>
        <v>1.6404968361846729E-2</v>
      </c>
      <c r="AE26" s="162">
        <f>-J26+M26</f>
        <v>-8.1499367236934628E-2</v>
      </c>
      <c r="AF26" s="165">
        <f t="shared" si="18"/>
        <v>-0.1797515819076636</v>
      </c>
      <c r="AL26" s="24"/>
      <c r="AM26" s="24"/>
      <c r="AP26">
        <f>+$AP$11</f>
        <v>20.329999999999998</v>
      </c>
      <c r="AQ26" s="4">
        <f>AP26/B26</f>
        <v>0.47644715256620573</v>
      </c>
      <c r="AR26" s="7">
        <f t="shared" si="19"/>
        <v>0</v>
      </c>
      <c r="AT26" s="4"/>
      <c r="AU26" s="2">
        <f xml:space="preserve"> $E$7*M26</f>
        <v>12644.621513944223</v>
      </c>
      <c r="AX26" s="4">
        <f>E26*$BC$6</f>
        <v>0.45340000000000003</v>
      </c>
    </row>
    <row r="27" spans="2:55" x14ac:dyDescent="0.25">
      <c r="B27" s="330">
        <f>B26+1</f>
        <v>43.67</v>
      </c>
      <c r="C27" s="328">
        <f>IF(B27&lt;$B$16,B27*#REF!,(B27-(B27-$B$16))*$C$7)</f>
        <v>0.70000000000000007</v>
      </c>
      <c r="D27" s="29"/>
      <c r="E27" s="253">
        <f t="shared" si="0"/>
        <v>23.67</v>
      </c>
      <c r="F27" s="254">
        <f t="shared" si="1"/>
        <v>0.54201969315319443</v>
      </c>
      <c r="G27" s="260">
        <f t="shared" ref="G27:G37" si="22">$B$7/B27</f>
        <v>0.45798030684680557</v>
      </c>
      <c r="H27" s="234">
        <f t="shared" si="9"/>
        <v>1</v>
      </c>
      <c r="I27" s="21"/>
      <c r="J27" s="242">
        <f>E27*$J$7</f>
        <v>0.47340000000000004</v>
      </c>
      <c r="K27" s="232">
        <f>J27/E27</f>
        <v>0.02</v>
      </c>
      <c r="L27" s="21"/>
      <c r="M27" s="316">
        <f>F27*C27</f>
        <v>0.37941378520723612</v>
      </c>
      <c r="N27" s="342">
        <f t="shared" si="16"/>
        <v>1.6029310739638196E-2</v>
      </c>
      <c r="O27" s="15"/>
      <c r="P27" s="264">
        <f t="shared" si="17"/>
        <v>0.22660000000000002</v>
      </c>
      <c r="Q27" s="340">
        <f t="shared" si="21"/>
        <v>0.02</v>
      </c>
      <c r="R27" s="282"/>
      <c r="S27" s="301">
        <f t="shared" si="4"/>
        <v>0.32058621479276395</v>
      </c>
      <c r="T27" s="345">
        <f t="shared" si="5"/>
        <v>1.6029310739638196E-2</v>
      </c>
      <c r="U27" s="354"/>
      <c r="V27" s="397">
        <f t="shared" si="13"/>
        <v>23647.882200000004</v>
      </c>
      <c r="W27" s="398">
        <f t="shared" si="7"/>
        <v>21022.565262193726</v>
      </c>
      <c r="X27" s="407">
        <f t="shared" si="8"/>
        <v>-2625.3169378062776</v>
      </c>
      <c r="Y27" s="354"/>
      <c r="Z27" s="367">
        <f>Q27*B27</f>
        <v>0.87340000000000007</v>
      </c>
      <c r="AA27" s="267">
        <f>S27+M27</f>
        <v>0.70000000000000007</v>
      </c>
      <c r="AB27" s="354"/>
      <c r="AC27" s="184">
        <f>J27/E27</f>
        <v>0.02</v>
      </c>
      <c r="AD27" s="185">
        <f>M27/E27</f>
        <v>1.6029310739638196E-2</v>
      </c>
      <c r="AE27" s="162">
        <f>-J27+M27</f>
        <v>-9.3986214792763922E-2</v>
      </c>
      <c r="AF27" s="165">
        <f t="shared" si="18"/>
        <v>-0.19853446301809019</v>
      </c>
      <c r="AL27" s="24"/>
      <c r="AM27" s="24"/>
      <c r="AP27">
        <f>+$AP$11</f>
        <v>20.329999999999998</v>
      </c>
      <c r="AQ27" s="4">
        <f>AP27/B27</f>
        <v>0.46553698190977783</v>
      </c>
      <c r="AR27" s="7">
        <f t="shared" si="19"/>
        <v>0</v>
      </c>
      <c r="AT27" s="4"/>
      <c r="AU27" s="2">
        <f xml:space="preserve"> $E$7*M27</f>
        <v>12900.068697046028</v>
      </c>
      <c r="AX27" s="4">
        <f>E27*$BC$6</f>
        <v>0.47340000000000004</v>
      </c>
    </row>
    <row r="28" spans="2:55" x14ac:dyDescent="0.25">
      <c r="B28" s="330">
        <f>B27+1</f>
        <v>44.67</v>
      </c>
      <c r="C28" s="328">
        <f>IF(B28&lt;$B$16,B28*J18,(B28-(B28-$B$16))*$C$7)</f>
        <v>0.70000000000000007</v>
      </c>
      <c r="D28" s="29"/>
      <c r="E28" s="253">
        <f t="shared" si="0"/>
        <v>24.67</v>
      </c>
      <c r="F28" s="254">
        <f t="shared" si="1"/>
        <v>0.55227221849115737</v>
      </c>
      <c r="G28" s="260">
        <f t="shared" si="22"/>
        <v>0.44772778150884263</v>
      </c>
      <c r="H28" s="234">
        <f t="shared" si="9"/>
        <v>1</v>
      </c>
      <c r="I28" s="21"/>
      <c r="J28" s="242">
        <f>E28*$J$7</f>
        <v>0.49340000000000006</v>
      </c>
      <c r="K28" s="232">
        <f>J28/E28</f>
        <v>0.02</v>
      </c>
      <c r="L28" s="21"/>
      <c r="M28" s="316">
        <f>F28*C28</f>
        <v>0.38659055294381017</v>
      </c>
      <c r="N28" s="342">
        <f t="shared" si="16"/>
        <v>1.5670472352809491E-2</v>
      </c>
      <c r="O28" s="15"/>
      <c r="P28" s="264">
        <f t="shared" si="17"/>
        <v>0.20660000000000001</v>
      </c>
      <c r="Q28" s="340">
        <f t="shared" si="21"/>
        <v>0.02</v>
      </c>
      <c r="R28" s="282"/>
      <c r="S28" s="301">
        <f t="shared" si="4"/>
        <v>0.31340944705618989</v>
      </c>
      <c r="T28" s="345">
        <f t="shared" si="5"/>
        <v>1.5670472352809495E-2</v>
      </c>
      <c r="U28" s="354"/>
      <c r="V28" s="397">
        <f t="shared" si="13"/>
        <v>24206.542200000004</v>
      </c>
      <c r="W28" s="398">
        <f t="shared" si="7"/>
        <v>21223.033915379448</v>
      </c>
      <c r="X28" s="407">
        <f t="shared" si="8"/>
        <v>-2983.5082846205551</v>
      </c>
      <c r="Y28" s="354"/>
      <c r="Z28" s="367">
        <f>Q28*B28</f>
        <v>0.89340000000000008</v>
      </c>
      <c r="AA28" s="267">
        <f>S28+M28</f>
        <v>0.70000000000000007</v>
      </c>
      <c r="AB28" s="354"/>
      <c r="AC28" s="183">
        <f>J28/E28</f>
        <v>0.02</v>
      </c>
      <c r="AD28" s="185">
        <f>M28/E28</f>
        <v>1.5670472352809491E-2</v>
      </c>
      <c r="AE28" s="162">
        <f>-J28+M28</f>
        <v>-0.10680944705618989</v>
      </c>
      <c r="AF28" s="165">
        <f t="shared" si="18"/>
        <v>-0.21647638235952549</v>
      </c>
      <c r="AL28" s="24"/>
      <c r="AM28" s="24"/>
      <c r="AP28">
        <f>+$AP$11</f>
        <v>20.329999999999998</v>
      </c>
      <c r="AQ28" s="4">
        <f>AP28/B28</f>
        <v>0.45511528990373845</v>
      </c>
      <c r="AR28" s="7">
        <f t="shared" si="19"/>
        <v>0</v>
      </c>
      <c r="AT28" s="4"/>
      <c r="AU28" s="2">
        <f xml:space="preserve"> $E$7*M28</f>
        <v>13144.078800089546</v>
      </c>
      <c r="AX28" s="4">
        <f>E28*$BC$6</f>
        <v>0.49340000000000006</v>
      </c>
    </row>
    <row r="29" spans="2:55" x14ac:dyDescent="0.25">
      <c r="B29" s="330">
        <f t="shared" ref="B29:B33" si="23">B28+1</f>
        <v>45.67</v>
      </c>
      <c r="C29" s="328">
        <f>IF(B29&lt;$B$16,B29*J19,(B29-(B29-$B$16))*$C$7)</f>
        <v>0.70000000000000007</v>
      </c>
      <c r="D29" s="29"/>
      <c r="E29" s="253">
        <f t="shared" si="0"/>
        <v>25.67</v>
      </c>
      <c r="F29" s="254">
        <f t="shared" si="1"/>
        <v>0.56207576089336542</v>
      </c>
      <c r="G29" s="260">
        <f t="shared" si="22"/>
        <v>0.43792423910663453</v>
      </c>
      <c r="H29" s="234">
        <f t="shared" si="9"/>
        <v>1</v>
      </c>
      <c r="I29" s="21"/>
      <c r="J29" s="242">
        <f>E29*$J$7</f>
        <v>0.51340000000000008</v>
      </c>
      <c r="K29" s="232">
        <f>J29/E29</f>
        <v>0.02</v>
      </c>
      <c r="L29" s="21"/>
      <c r="M29" s="316">
        <f>F29*C29</f>
        <v>0.3934530326253558</v>
      </c>
      <c r="N29" s="342">
        <f t="shared" si="16"/>
        <v>1.5327348368732207E-2</v>
      </c>
      <c r="O29" s="15"/>
      <c r="P29" s="264">
        <f t="shared" si="17"/>
        <v>0.18659999999999999</v>
      </c>
      <c r="Q29" s="340">
        <f t="shared" si="21"/>
        <v>0.02</v>
      </c>
      <c r="R29" s="282"/>
      <c r="S29" s="301">
        <f t="shared" si="4"/>
        <v>0.30654696737464421</v>
      </c>
      <c r="T29" s="345">
        <f t="shared" si="5"/>
        <v>1.5327348368732211E-2</v>
      </c>
      <c r="U29" s="354"/>
      <c r="V29" s="397">
        <f t="shared" si="13"/>
        <v>24765.202200000003</v>
      </c>
      <c r="W29" s="398">
        <f t="shared" si="7"/>
        <v>21414.723560324066</v>
      </c>
      <c r="X29" s="407">
        <f t="shared" si="8"/>
        <v>-3350.4786396759373</v>
      </c>
      <c r="Y29" s="354"/>
      <c r="Z29" s="367">
        <f>Q29*B29</f>
        <v>0.9134000000000001</v>
      </c>
      <c r="AA29" s="267">
        <f>S29+M29</f>
        <v>0.7</v>
      </c>
      <c r="AB29" s="354"/>
      <c r="AC29" s="183">
        <f>J29/E29</f>
        <v>0.02</v>
      </c>
      <c r="AD29" s="185">
        <f>M29/E29</f>
        <v>1.5327348368732207E-2</v>
      </c>
      <c r="AE29" s="162">
        <f>-J29+M29</f>
        <v>-0.11994696737464428</v>
      </c>
      <c r="AF29" s="165">
        <f t="shared" si="18"/>
        <v>-0.23363258156338962</v>
      </c>
      <c r="AL29" s="24"/>
      <c r="AM29" s="24"/>
      <c r="AP29">
        <f>+$AP$11</f>
        <v>20.329999999999998</v>
      </c>
      <c r="AQ29" s="4">
        <f>AP29/B29</f>
        <v>0.44514998905189396</v>
      </c>
      <c r="AR29" s="7">
        <f t="shared" si="19"/>
        <v>0</v>
      </c>
      <c r="AT29" s="4"/>
      <c r="AU29" s="2">
        <f xml:space="preserve"> $E$7*M29</f>
        <v>13377.403109262097</v>
      </c>
      <c r="AX29" s="4">
        <f>E29*$BC$6</f>
        <v>0.51340000000000008</v>
      </c>
    </row>
    <row r="30" spans="2:55" x14ac:dyDescent="0.25">
      <c r="B30" s="330">
        <f t="shared" si="23"/>
        <v>46.67</v>
      </c>
      <c r="C30" s="328">
        <f>IF(B30&lt;$B$16,B30*J20,(B30-(B30-$B$16))*$C$7)</f>
        <v>0.70000000000000007</v>
      </c>
      <c r="D30" s="29"/>
      <c r="E30" s="253">
        <f t="shared" si="0"/>
        <v>26.67</v>
      </c>
      <c r="F30" s="254">
        <f t="shared" si="1"/>
        <v>0.57145918148703667</v>
      </c>
      <c r="G30" s="260">
        <f t="shared" si="22"/>
        <v>0.42854081851296333</v>
      </c>
      <c r="H30" s="234">
        <f t="shared" si="9"/>
        <v>1</v>
      </c>
      <c r="I30" s="21"/>
      <c r="J30" s="242">
        <f>E30*$J$7</f>
        <v>0.5334000000000001</v>
      </c>
      <c r="K30" s="232">
        <f>J30/E30</f>
        <v>2.0000000000000004E-2</v>
      </c>
      <c r="L30" s="21"/>
      <c r="M30" s="316">
        <f>F30*C30</f>
        <v>0.40002142704092569</v>
      </c>
      <c r="N30" s="342">
        <f t="shared" si="16"/>
        <v>1.4998928647953718E-2</v>
      </c>
      <c r="O30" s="15"/>
      <c r="P30" s="264">
        <f t="shared" si="17"/>
        <v>0.16659999999999997</v>
      </c>
      <c r="Q30" s="340">
        <f t="shared" si="21"/>
        <v>0.02</v>
      </c>
      <c r="R30" s="282"/>
      <c r="S30" s="301">
        <f t="shared" si="4"/>
        <v>0.29997857295907437</v>
      </c>
      <c r="T30" s="345">
        <f t="shared" si="5"/>
        <v>1.4998928647953718E-2</v>
      </c>
      <c r="U30" s="354"/>
      <c r="V30" s="397">
        <f t="shared" si="13"/>
        <v>25323.862200000003</v>
      </c>
      <c r="W30" s="398">
        <f t="shared" si="7"/>
        <v>21598.198521534177</v>
      </c>
      <c r="X30" s="407">
        <f t="shared" si="8"/>
        <v>-3725.6636784658258</v>
      </c>
      <c r="Y30" s="354"/>
      <c r="Z30" s="367">
        <f>Q30*B30</f>
        <v>0.93340000000000001</v>
      </c>
      <c r="AA30" s="267">
        <f>S30+M30</f>
        <v>0.70000000000000007</v>
      </c>
      <c r="AB30" s="354"/>
      <c r="AC30" s="183">
        <f>J30/E30</f>
        <v>2.0000000000000004E-2</v>
      </c>
      <c r="AD30" s="185">
        <f>M30/E30</f>
        <v>1.4998928647953718E-2</v>
      </c>
      <c r="AE30" s="162">
        <f>-J30+M30</f>
        <v>-0.1333785729590744</v>
      </c>
      <c r="AF30" s="165">
        <f t="shared" si="18"/>
        <v>-0.25005356760231412</v>
      </c>
      <c r="AL30" s="24"/>
      <c r="AM30" s="24"/>
      <c r="AP30">
        <f>+$AP$11</f>
        <v>20.329999999999998</v>
      </c>
      <c r="AQ30" s="4">
        <f>AP30/B30</f>
        <v>0.43561174201842723</v>
      </c>
      <c r="AR30" s="7">
        <f t="shared" si="19"/>
        <v>0</v>
      </c>
      <c r="AT30" s="4"/>
      <c r="AU30" s="2">
        <f xml:space="preserve"> $E$7*M30</f>
        <v>13600.728519391474</v>
      </c>
      <c r="AX30" s="4">
        <f>E30*$BC$6</f>
        <v>0.5334000000000001</v>
      </c>
    </row>
    <row r="31" spans="2:55" x14ac:dyDescent="0.25">
      <c r="B31" s="330">
        <f t="shared" si="23"/>
        <v>47.67</v>
      </c>
      <c r="C31" s="328">
        <f>IF(B31&lt;$B$16,B31*J21,(B31-(B31-$B$16))*$C$7)</f>
        <v>0.70000000000000007</v>
      </c>
      <c r="D31" s="29"/>
      <c r="E31" s="253">
        <f t="shared" si="0"/>
        <v>27.67</v>
      </c>
      <c r="F31" s="254">
        <f t="shared" si="1"/>
        <v>0.58044891965596812</v>
      </c>
      <c r="G31" s="260">
        <f t="shared" si="22"/>
        <v>0.41955108034403188</v>
      </c>
      <c r="H31" s="234">
        <f t="shared" si="9"/>
        <v>1</v>
      </c>
      <c r="I31" s="21"/>
      <c r="J31" s="242">
        <f>E31*$J$7</f>
        <v>0.5534</v>
      </c>
      <c r="K31" s="232">
        <f>J31/E31</f>
        <v>0.02</v>
      </c>
      <c r="L31" s="21"/>
      <c r="M31" s="316">
        <f>F31*C31</f>
        <v>0.40631424375917774</v>
      </c>
      <c r="N31" s="342">
        <f t="shared" si="16"/>
        <v>1.4684287812041117E-2</v>
      </c>
      <c r="O31" s="15"/>
      <c r="P31" s="264">
        <f t="shared" si="17"/>
        <v>0.14660000000000006</v>
      </c>
      <c r="Q31" s="340">
        <f t="shared" si="21"/>
        <v>0.02</v>
      </c>
      <c r="R31" s="282"/>
      <c r="S31" s="301">
        <f t="shared" si="4"/>
        <v>0.29368575624082233</v>
      </c>
      <c r="T31" s="345">
        <f t="shared" si="5"/>
        <v>1.4684287812041116E-2</v>
      </c>
      <c r="U31" s="354"/>
      <c r="V31" s="397">
        <f t="shared" si="13"/>
        <v>25882.522199999999</v>
      </c>
      <c r="W31" s="398">
        <f t="shared" si="7"/>
        <v>21773.975770925113</v>
      </c>
      <c r="X31" s="407">
        <f t="shared" si="8"/>
        <v>-4108.546429074886</v>
      </c>
      <c r="Y31" s="354"/>
      <c r="Z31" s="367">
        <f>Q31*B31</f>
        <v>0.95340000000000003</v>
      </c>
      <c r="AA31" s="267">
        <f>S31+M31</f>
        <v>0.70000000000000007</v>
      </c>
      <c r="AB31" s="354"/>
      <c r="AC31" s="183">
        <f>J31/E31</f>
        <v>0.02</v>
      </c>
      <c r="AD31" s="185">
        <f>M31/E31</f>
        <v>1.4684287812041117E-2</v>
      </c>
      <c r="AE31" s="162">
        <f>-J31+M31</f>
        <v>-0.14708575624082226</v>
      </c>
      <c r="AF31" s="165">
        <f t="shared" si="18"/>
        <v>-0.26578560939794416</v>
      </c>
      <c r="AL31" s="24"/>
      <c r="AM31" s="24"/>
      <c r="AP31">
        <f>+$AP$11</f>
        <v>20.329999999999998</v>
      </c>
      <c r="AQ31" s="4">
        <f>AP31/B31</f>
        <v>0.42647367316970836</v>
      </c>
      <c r="AR31" s="7">
        <f t="shared" si="19"/>
        <v>0</v>
      </c>
      <c r="AT31" s="4"/>
      <c r="AU31" s="2">
        <f xml:space="preserve"> $E$7*M31</f>
        <v>13814.684287812042</v>
      </c>
      <c r="AX31" s="4">
        <f>E31*$BC$6</f>
        <v>0.5534</v>
      </c>
    </row>
    <row r="32" spans="2:55" x14ac:dyDescent="0.25">
      <c r="B32" s="330">
        <f t="shared" si="23"/>
        <v>48.67</v>
      </c>
      <c r="C32" s="328">
        <f>IF(B32&lt;$B$16,B32*J22,(B32-(B32-$B$16))*$C$7)</f>
        <v>0.70000000000000007</v>
      </c>
      <c r="D32" s="29"/>
      <c r="E32" s="253">
        <f t="shared" si="0"/>
        <v>28.67</v>
      </c>
      <c r="F32" s="254">
        <f t="shared" si="1"/>
        <v>0.58906924183275122</v>
      </c>
      <c r="G32" s="260">
        <f t="shared" si="22"/>
        <v>0.41093075816724878</v>
      </c>
      <c r="H32" s="234">
        <f t="shared" si="9"/>
        <v>1</v>
      </c>
      <c r="I32" s="21"/>
      <c r="J32" s="242">
        <f>E32*$J$7</f>
        <v>0.57340000000000002</v>
      </c>
      <c r="K32" s="232">
        <f>J32/E32</f>
        <v>0.02</v>
      </c>
      <c r="L32" s="21"/>
      <c r="M32" s="316">
        <f>F32*C32</f>
        <v>0.4123484692829259</v>
      </c>
      <c r="N32" s="342">
        <f t="shared" si="16"/>
        <v>1.438257653585371E-2</v>
      </c>
      <c r="O32" s="15"/>
      <c r="P32" s="264">
        <f t="shared" si="17"/>
        <v>0.12660000000000005</v>
      </c>
      <c r="Q32" s="340">
        <f t="shared" si="21"/>
        <v>0.02</v>
      </c>
      <c r="R32" s="282"/>
      <c r="S32" s="301">
        <f t="shared" si="4"/>
        <v>0.28765153071707417</v>
      </c>
      <c r="T32" s="345">
        <f t="shared" si="5"/>
        <v>1.4382576535853708E-2</v>
      </c>
      <c r="U32" s="354"/>
      <c r="V32" s="397">
        <f t="shared" si="13"/>
        <v>26441.182199999999</v>
      </c>
      <c r="W32" s="398">
        <f t="shared" si="7"/>
        <v>21942.529792479967</v>
      </c>
      <c r="X32" s="407">
        <f t="shared" si="8"/>
        <v>-4498.6524075200323</v>
      </c>
      <c r="Y32" s="354"/>
      <c r="Z32" s="367">
        <f>Q32*B32</f>
        <v>0.97340000000000004</v>
      </c>
      <c r="AA32" s="267">
        <f>S32+M32</f>
        <v>0.70000000000000007</v>
      </c>
      <c r="AB32" s="354"/>
      <c r="AC32" s="183">
        <f>J32/E32</f>
        <v>0.02</v>
      </c>
      <c r="AD32" s="185">
        <f>M32/E32</f>
        <v>1.438257653585371E-2</v>
      </c>
      <c r="AE32" s="162">
        <f>-J32+M32</f>
        <v>-0.16105153071707412</v>
      </c>
      <c r="AF32" s="165">
        <f t="shared" si="18"/>
        <v>-0.28087117320731458</v>
      </c>
      <c r="AL32" s="24"/>
      <c r="AM32" s="24"/>
      <c r="AP32">
        <f>+$AP$11</f>
        <v>20.329999999999998</v>
      </c>
      <c r="AQ32" s="4">
        <f>AP32/B32</f>
        <v>0.41771111567700836</v>
      </c>
      <c r="AR32" s="7">
        <f t="shared" si="19"/>
        <v>0</v>
      </c>
      <c r="AT32" s="4"/>
      <c r="AU32" s="2">
        <f xml:space="preserve"> $E$7*M32</f>
        <v>14019.84795561948</v>
      </c>
      <c r="AX32" s="4">
        <f>E32*$BC$6</f>
        <v>0.57340000000000002</v>
      </c>
    </row>
    <row r="33" spans="2:50" x14ac:dyDescent="0.25">
      <c r="B33" s="330">
        <f t="shared" si="23"/>
        <v>49.67</v>
      </c>
      <c r="C33" s="328">
        <f>IF(B33&lt;$B$16,B33*J23,(B33-(B33-$B$16))*$C$7)</f>
        <v>0.70000000000000007</v>
      </c>
      <c r="D33" s="29"/>
      <c r="E33" s="253">
        <f t="shared" si="0"/>
        <v>29.67</v>
      </c>
      <c r="F33" s="254">
        <f t="shared" si="1"/>
        <v>0.59734246023756798</v>
      </c>
      <c r="G33" s="260">
        <f t="shared" si="22"/>
        <v>0.40265753976243202</v>
      </c>
      <c r="H33" s="234">
        <f t="shared" si="9"/>
        <v>1</v>
      </c>
      <c r="I33" s="21"/>
      <c r="J33" s="242">
        <f>E33*$J$7</f>
        <v>0.59340000000000004</v>
      </c>
      <c r="K33" s="232">
        <f>J33/E33</f>
        <v>0.02</v>
      </c>
      <c r="L33" s="21"/>
      <c r="M33" s="316">
        <f>F33*C33</f>
        <v>0.41813972216629763</v>
      </c>
      <c r="N33" s="342">
        <f t="shared" si="16"/>
        <v>1.4093013891685123E-2</v>
      </c>
      <c r="O33" s="15"/>
      <c r="P33" s="264">
        <f t="shared" si="17"/>
        <v>0.10660000000000003</v>
      </c>
      <c r="Q33" s="340">
        <f t="shared" si="21"/>
        <v>0.02</v>
      </c>
      <c r="R33" s="282"/>
      <c r="S33" s="301">
        <f t="shared" si="4"/>
        <v>0.28186027783370243</v>
      </c>
      <c r="T33" s="345">
        <f t="shared" si="5"/>
        <v>1.4093013891685121E-2</v>
      </c>
      <c r="U33" s="354"/>
      <c r="V33" s="397">
        <f t="shared" si="13"/>
        <v>26999.842200000003</v>
      </c>
      <c r="W33" s="398">
        <f t="shared" si="7"/>
        <v>22104.296859271195</v>
      </c>
      <c r="X33" s="407">
        <f t="shared" si="8"/>
        <v>-4895.5453407288078</v>
      </c>
      <c r="Y33" s="354"/>
      <c r="Z33" s="367">
        <f>Q33*B33</f>
        <v>0.99340000000000006</v>
      </c>
      <c r="AA33" s="267">
        <f>S33+M33</f>
        <v>0.70000000000000007</v>
      </c>
      <c r="AB33" s="354"/>
      <c r="AC33" s="184">
        <f>J33/E33</f>
        <v>0.02</v>
      </c>
      <c r="AD33" s="185">
        <f>M33/E33</f>
        <v>1.4093013891685123E-2</v>
      </c>
      <c r="AE33" s="162">
        <f>-J33+M33</f>
        <v>-0.1752602778337024</v>
      </c>
      <c r="AF33" s="165">
        <f t="shared" si="18"/>
        <v>-0.29534930541574389</v>
      </c>
      <c r="AL33" s="24"/>
      <c r="AM33" s="24"/>
      <c r="AP33">
        <f>+$AP$11</f>
        <v>20.329999999999998</v>
      </c>
      <c r="AQ33" s="4">
        <f>AP33/B33</f>
        <v>0.40930138916851211</v>
      </c>
      <c r="AR33" s="7">
        <f t="shared" si="19"/>
        <v>0</v>
      </c>
      <c r="AT33" s="4"/>
      <c r="AU33" s="2">
        <f xml:space="preserve"> $E$7*M33</f>
        <v>14216.750553654119</v>
      </c>
      <c r="AX33" s="4">
        <f>E33*$BC$6</f>
        <v>0.59340000000000004</v>
      </c>
    </row>
    <row r="34" spans="2:50" x14ac:dyDescent="0.25">
      <c r="B34" s="322">
        <v>55</v>
      </c>
      <c r="C34" s="328">
        <f>IF(B34&lt;$B$16,B34*J24,(B34-(B34-$B$16))*$C$7)</f>
        <v>0.70000000000000007</v>
      </c>
      <c r="D34" s="29"/>
      <c r="E34" s="253">
        <f t="shared" si="0"/>
        <v>35</v>
      </c>
      <c r="F34" s="254">
        <f t="shared" si="1"/>
        <v>0.63636363636363635</v>
      </c>
      <c r="G34" s="260">
        <f t="shared" si="22"/>
        <v>0.36363636363636365</v>
      </c>
      <c r="H34" s="234">
        <f t="shared" si="9"/>
        <v>1</v>
      </c>
      <c r="I34" s="21"/>
      <c r="J34" s="242">
        <f>E34*$J$7</f>
        <v>0.70000000000000007</v>
      </c>
      <c r="K34" s="232">
        <f>J34/E34</f>
        <v>0.02</v>
      </c>
      <c r="L34" s="21"/>
      <c r="M34" s="316">
        <f>F34*C34</f>
        <v>0.44545454545454549</v>
      </c>
      <c r="N34" s="342">
        <f t="shared" si="16"/>
        <v>1.2727272727272728E-2</v>
      </c>
      <c r="O34" s="15"/>
      <c r="P34" s="264">
        <f t="shared" si="17"/>
        <v>0</v>
      </c>
      <c r="Q34" s="334">
        <f t="shared" si="3"/>
        <v>0</v>
      </c>
      <c r="R34" s="282"/>
      <c r="S34" s="301">
        <f t="shared" si="4"/>
        <v>0.25454545454545457</v>
      </c>
      <c r="T34" s="345">
        <f t="shared" si="5"/>
        <v>1.2727272727272729E-2</v>
      </c>
      <c r="U34" s="354"/>
      <c r="V34" s="397">
        <f t="shared" si="13"/>
        <v>29977.500000000004</v>
      </c>
      <c r="W34" s="398">
        <f t="shared" si="7"/>
        <v>22867.281818181822</v>
      </c>
      <c r="X34" s="407">
        <f t="shared" si="8"/>
        <v>-7110.2181818181816</v>
      </c>
      <c r="Y34" s="354"/>
      <c r="Z34" s="367">
        <f>Q34*B34</f>
        <v>0</v>
      </c>
      <c r="AA34" s="267">
        <f>S34+M34</f>
        <v>0.70000000000000007</v>
      </c>
      <c r="AB34" s="354"/>
      <c r="AC34" s="183">
        <f>J34/E34</f>
        <v>0.02</v>
      </c>
      <c r="AD34" s="185">
        <f>M34/E34</f>
        <v>1.2727272727272728E-2</v>
      </c>
      <c r="AE34" s="162">
        <f>-J34+M34</f>
        <v>-0.25454545454545457</v>
      </c>
      <c r="AF34" s="165">
        <f t="shared" si="18"/>
        <v>-0.36363636363636365</v>
      </c>
      <c r="AL34" s="24"/>
    </row>
    <row r="35" spans="2:50" x14ac:dyDescent="0.25">
      <c r="B35" s="322">
        <v>60</v>
      </c>
      <c r="C35" s="328">
        <f>IF(B35&lt;$B$16,B35*J25,(B35-(B35-$B$16))*$C$7)</f>
        <v>0.70000000000000007</v>
      </c>
      <c r="D35" s="29"/>
      <c r="E35" s="253">
        <f t="shared" si="0"/>
        <v>40</v>
      </c>
      <c r="F35" s="254">
        <f t="shared" si="1"/>
        <v>0.66666666666666663</v>
      </c>
      <c r="G35" s="260">
        <f t="shared" si="22"/>
        <v>0.33333333333333331</v>
      </c>
      <c r="H35" s="234">
        <f t="shared" si="9"/>
        <v>1</v>
      </c>
      <c r="I35" s="21"/>
      <c r="J35" s="242">
        <f>E35*$J$7</f>
        <v>0.8</v>
      </c>
      <c r="K35" s="232">
        <f>J35/E35</f>
        <v>0.02</v>
      </c>
      <c r="L35" s="21"/>
      <c r="M35" s="316">
        <f>F35*C35</f>
        <v>0.46666666666666667</v>
      </c>
      <c r="N35" s="342">
        <f t="shared" si="16"/>
        <v>1.1666666666666667E-2</v>
      </c>
      <c r="O35" s="15"/>
      <c r="P35" s="264">
        <f t="shared" si="17"/>
        <v>-9.9999999999999978E-2</v>
      </c>
      <c r="Q35" s="334">
        <f t="shared" si="3"/>
        <v>-4.9999999999999992E-3</v>
      </c>
      <c r="R35" s="282"/>
      <c r="S35" s="301">
        <f t="shared" si="4"/>
        <v>0.23333333333333334</v>
      </c>
      <c r="T35" s="345">
        <f t="shared" si="5"/>
        <v>1.1666666666666667E-2</v>
      </c>
      <c r="U35" s="354"/>
      <c r="V35" s="397">
        <f t="shared" si="13"/>
        <v>32770.800000000003</v>
      </c>
      <c r="W35" s="398">
        <f t="shared" si="7"/>
        <v>23459.8</v>
      </c>
      <c r="X35" s="407">
        <f t="shared" si="8"/>
        <v>-9311.0000000000036</v>
      </c>
      <c r="Y35" s="354"/>
      <c r="Z35" s="367">
        <f>Q35*B35</f>
        <v>-0.29999999999999993</v>
      </c>
      <c r="AA35" s="267">
        <f>S35+M35</f>
        <v>0.7</v>
      </c>
      <c r="AB35" s="354"/>
      <c r="AC35" s="183">
        <f>J35/E35</f>
        <v>0.02</v>
      </c>
      <c r="AD35" s="185">
        <f>M35/E35</f>
        <v>1.1666666666666667E-2</v>
      </c>
      <c r="AE35" s="162">
        <f>-J35+M35</f>
        <v>-0.33333333333333337</v>
      </c>
      <c r="AF35" s="165">
        <f t="shared" si="18"/>
        <v>-0.41666666666666663</v>
      </c>
      <c r="AL35" s="24"/>
    </row>
    <row r="36" spans="2:50" x14ac:dyDescent="0.25">
      <c r="B36" s="322">
        <v>65</v>
      </c>
      <c r="C36" s="328">
        <f>IF(B36&lt;$B$16,B36*J26,(B36-(B36-$B$16))*$C$7)</f>
        <v>0.70000000000000007</v>
      </c>
      <c r="D36" s="29"/>
      <c r="E36" s="253">
        <f t="shared" si="0"/>
        <v>45</v>
      </c>
      <c r="F36" s="254">
        <f t="shared" si="1"/>
        <v>0.69230769230769229</v>
      </c>
      <c r="G36" s="260">
        <f t="shared" si="22"/>
        <v>0.30769230769230771</v>
      </c>
      <c r="H36" s="234">
        <f t="shared" si="9"/>
        <v>1</v>
      </c>
      <c r="I36" s="21"/>
      <c r="J36" s="242">
        <f>E36*$J$7</f>
        <v>0.9</v>
      </c>
      <c r="K36" s="232">
        <f>J36/E36</f>
        <v>0.02</v>
      </c>
      <c r="L36" s="21"/>
      <c r="M36" s="316">
        <f>F36*C36</f>
        <v>0.48461538461538467</v>
      </c>
      <c r="N36" s="342">
        <f t="shared" si="16"/>
        <v>1.0769230769230771E-2</v>
      </c>
      <c r="O36" s="15"/>
      <c r="P36" s="264">
        <f t="shared" si="17"/>
        <v>-0.19999999999999996</v>
      </c>
      <c r="Q36" s="334">
        <f t="shared" si="3"/>
        <v>-9.9999999999999985E-3</v>
      </c>
      <c r="R36" s="282"/>
      <c r="S36" s="301">
        <f t="shared" si="4"/>
        <v>0.21538461538461542</v>
      </c>
      <c r="T36" s="345">
        <f t="shared" si="5"/>
        <v>1.0769230769230771E-2</v>
      </c>
      <c r="U36" s="354"/>
      <c r="V36" s="397">
        <f t="shared" si="13"/>
        <v>35564.1</v>
      </c>
      <c r="W36" s="398">
        <f t="shared" si="7"/>
        <v>23961.16153846154</v>
      </c>
      <c r="X36" s="407">
        <f t="shared" si="8"/>
        <v>-11602.938461538459</v>
      </c>
      <c r="Y36" s="354"/>
      <c r="Z36" s="367">
        <f>Q36*B36</f>
        <v>-0.64999999999999991</v>
      </c>
      <c r="AA36" s="267">
        <f>S36+M36</f>
        <v>0.70000000000000007</v>
      </c>
      <c r="AB36" s="354"/>
      <c r="AC36" s="183">
        <f>J36/E36</f>
        <v>0.02</v>
      </c>
      <c r="AD36" s="185">
        <f>M36/E36</f>
        <v>1.0769230769230771E-2</v>
      </c>
      <c r="AE36" s="162">
        <f>-J36+M36</f>
        <v>-0.41538461538461535</v>
      </c>
      <c r="AF36" s="165">
        <f t="shared" si="18"/>
        <v>-0.46153846153846145</v>
      </c>
      <c r="AL36" s="24"/>
    </row>
    <row r="37" spans="2:50" ht="14.4" thickBot="1" x14ac:dyDescent="0.3">
      <c r="B37" s="322">
        <v>70</v>
      </c>
      <c r="C37" s="328">
        <f>IF(B37&lt;$B$16,B37*J27,(B37-(B37-$B$16))*$C$7)</f>
        <v>0.70000000000000007</v>
      </c>
      <c r="D37" s="29"/>
      <c r="E37" s="251">
        <f t="shared" si="0"/>
        <v>50</v>
      </c>
      <c r="F37" s="257">
        <f t="shared" si="1"/>
        <v>0.7142857142857143</v>
      </c>
      <c r="G37" s="262">
        <f t="shared" si="22"/>
        <v>0.2857142857142857</v>
      </c>
      <c r="H37" s="235">
        <f t="shared" si="9"/>
        <v>1</v>
      </c>
      <c r="I37" s="21"/>
      <c r="J37" s="242">
        <f>E37*$J$7</f>
        <v>1</v>
      </c>
      <c r="K37" s="232">
        <f>J37/E37</f>
        <v>0.02</v>
      </c>
      <c r="L37" s="21"/>
      <c r="M37" s="316">
        <f>F37*C37</f>
        <v>0.50000000000000011</v>
      </c>
      <c r="N37" s="344">
        <f t="shared" si="16"/>
        <v>1.0000000000000002E-2</v>
      </c>
      <c r="O37" s="15"/>
      <c r="P37" s="264">
        <f t="shared" si="17"/>
        <v>-0.29999999999999993</v>
      </c>
      <c r="Q37" s="334">
        <f t="shared" si="3"/>
        <v>-1.4999999999999996E-2</v>
      </c>
      <c r="R37" s="282"/>
      <c r="S37" s="301">
        <f t="shared" si="4"/>
        <v>0.2</v>
      </c>
      <c r="T37" s="345">
        <f t="shared" si="5"/>
        <v>0.01</v>
      </c>
      <c r="U37" s="354"/>
      <c r="V37" s="397">
        <f t="shared" si="13"/>
        <v>38357.4</v>
      </c>
      <c r="W37" s="398">
        <f t="shared" si="7"/>
        <v>24390.900000000005</v>
      </c>
      <c r="X37" s="407">
        <f t="shared" si="8"/>
        <v>-13966.499999999996</v>
      </c>
      <c r="Y37" s="354"/>
      <c r="Z37" s="367">
        <f>Q37*B37</f>
        <v>-1.0499999999999998</v>
      </c>
      <c r="AA37" s="267">
        <f>S37+M37</f>
        <v>0.70000000000000018</v>
      </c>
      <c r="AB37" s="354"/>
      <c r="AC37" s="183">
        <f>J37/E37</f>
        <v>0.02</v>
      </c>
      <c r="AD37" s="185">
        <f>M37/E37</f>
        <v>1.0000000000000002E-2</v>
      </c>
      <c r="AE37" s="162">
        <f>-J37+M37</f>
        <v>-0.49999999999999989</v>
      </c>
      <c r="AF37" s="165">
        <f t="shared" si="18"/>
        <v>-0.49999999999999989</v>
      </c>
      <c r="AL37" s="24"/>
    </row>
    <row r="38" spans="2:50" x14ac:dyDescent="0.25">
      <c r="B38" s="357"/>
      <c r="C38" s="29"/>
      <c r="D38" s="29"/>
      <c r="H38" s="236"/>
      <c r="L38" s="280"/>
      <c r="AF38" s="1"/>
    </row>
    <row r="39" spans="2:50" x14ac:dyDescent="0.25">
      <c r="C39" s="280"/>
    </row>
    <row r="40" spans="2:50" x14ac:dyDescent="0.25">
      <c r="J40" s="21" t="s">
        <v>52</v>
      </c>
      <c r="K40" s="21"/>
      <c r="L40" s="21"/>
      <c r="M40" s="15" t="s">
        <v>52</v>
      </c>
      <c r="N4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9</vt:i4>
      </vt:variant>
    </vt:vector>
  </HeadingPairs>
  <TitlesOfParts>
    <vt:vector size="9" baseType="lpstr">
      <vt:lpstr>פנסיה+ כ.מינוי+חוזה (4)</vt:lpstr>
      <vt:lpstr>פנסיה כ.מינוי+חוזה (4)</vt:lpstr>
      <vt:lpstr>גיליון1</vt:lpstr>
      <vt:lpstr>פנסיה כ.מנוי</vt:lpstr>
      <vt:lpstr>פנסיה ת. חוזה</vt:lpstr>
      <vt:lpstr>פנסיה ת. חוזה (2)</vt:lpstr>
      <vt:lpstr>פנסיה כ.מנוי (2)</vt:lpstr>
      <vt:lpstr>פנסיה+ כ.מינוי+חוזה (3)</vt:lpstr>
      <vt:lpstr>נוסחת אהרונוב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שמעון</dc:creator>
  <cp:lastModifiedBy>שמעון</cp:lastModifiedBy>
  <dcterms:created xsi:type="dcterms:W3CDTF">2025-10-28T13:59:31Z</dcterms:created>
  <dcterms:modified xsi:type="dcterms:W3CDTF">2025-11-09T11:38:24Z</dcterms:modified>
</cp:coreProperties>
</file>