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mon\Google Drive\P\myself\גמלאות\"/>
    </mc:Choice>
  </mc:AlternateContent>
  <bookViews>
    <workbookView xWindow="0" yWindow="0" windowWidth="15765" windowHeight="7800"/>
  </bookViews>
  <sheets>
    <sheet name="חישוב עד 31.7.2012" sheetId="1" r:id="rId1"/>
    <sheet name="חישוב עד 31.3.2014 (2) לא הושלם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E25" i="3"/>
  <c r="E24" i="3"/>
  <c r="E23" i="3"/>
  <c r="I10" i="3"/>
  <c r="I9" i="3"/>
  <c r="I7" i="3"/>
  <c r="I6" i="3"/>
  <c r="J6" i="3"/>
  <c r="H10" i="3"/>
  <c r="B15" i="3"/>
  <c r="B14" i="3" s="1"/>
  <c r="M13" i="1"/>
  <c r="G13" i="1"/>
  <c r="M74" i="1"/>
  <c r="P75" i="1" s="1"/>
  <c r="M75" i="1"/>
  <c r="P76" i="1" s="1"/>
  <c r="M48" i="1"/>
  <c r="P49" i="1" s="1"/>
  <c r="M11" i="1"/>
  <c r="M14" i="1" s="1"/>
  <c r="N12" i="1" s="1"/>
  <c r="L8" i="1"/>
  <c r="L6" i="1"/>
  <c r="W8" i="1"/>
  <c r="G10" i="1"/>
  <c r="X8" i="1"/>
  <c r="R19" i="1"/>
  <c r="E81" i="3"/>
  <c r="E71" i="3"/>
  <c r="E14" i="3"/>
  <c r="I18" i="1"/>
  <c r="D28" i="1" s="1"/>
  <c r="D49" i="1" s="1"/>
  <c r="D75" i="1" s="1"/>
  <c r="L75" i="1" s="1"/>
  <c r="G6" i="3"/>
  <c r="G8" i="3" s="1"/>
  <c r="M7" i="3" s="1"/>
  <c r="J7" i="3" s="1"/>
  <c r="E34" i="3" s="1"/>
  <c r="D58" i="3"/>
  <c r="D81" i="3" s="1"/>
  <c r="O35" i="3"/>
  <c r="R36" i="3" s="1"/>
  <c r="D9" i="3"/>
  <c r="D7" i="3"/>
  <c r="D4" i="3"/>
  <c r="D6" i="3" s="1"/>
  <c r="E74" i="1"/>
  <c r="E84" i="1" s="1"/>
  <c r="H84" i="1" s="1"/>
  <c r="E48" i="1"/>
  <c r="F48" i="1" s="1"/>
  <c r="D60" i="1"/>
  <c r="D85" i="1" s="1"/>
  <c r="L84" i="1" s="1"/>
  <c r="H37" i="1"/>
  <c r="H36" i="1"/>
  <c r="F37" i="1"/>
  <c r="H28" i="1"/>
  <c r="H27" i="1"/>
  <c r="F36" i="1"/>
  <c r="D6" i="1"/>
  <c r="D13" i="1" s="1"/>
  <c r="D9" i="1"/>
  <c r="D8" i="1"/>
  <c r="G11" i="1"/>
  <c r="H6" i="1" s="1"/>
  <c r="W7" i="1" s="1"/>
  <c r="F27" i="1"/>
  <c r="H70" i="1" l="1"/>
  <c r="N13" i="1"/>
  <c r="O13" i="1" s="1"/>
  <c r="L11" i="1"/>
  <c r="L14" i="1" s="1"/>
  <c r="L13" i="1"/>
  <c r="N75" i="1"/>
  <c r="M76" i="1"/>
  <c r="M83" i="1"/>
  <c r="M49" i="1"/>
  <c r="P50" i="1" s="1"/>
  <c r="P51" i="1" s="1"/>
  <c r="M84" i="1"/>
  <c r="P85" i="1" s="1"/>
  <c r="L49" i="1"/>
  <c r="P77" i="1"/>
  <c r="N74" i="1"/>
  <c r="N8" i="1"/>
  <c r="O8" i="1" s="1"/>
  <c r="N48" i="1"/>
  <c r="N6" i="1"/>
  <c r="H9" i="1"/>
  <c r="I9" i="1" s="1"/>
  <c r="H48" i="1"/>
  <c r="E59" i="1"/>
  <c r="H59" i="1" s="1"/>
  <c r="E49" i="1"/>
  <c r="E50" i="1" s="1"/>
  <c r="E70" i="3"/>
  <c r="H70" i="3" s="1"/>
  <c r="E46" i="3"/>
  <c r="E47" i="3" s="1"/>
  <c r="H29" i="1"/>
  <c r="H74" i="1"/>
  <c r="D8" i="3"/>
  <c r="D10" i="3" s="1"/>
  <c r="D24" i="3"/>
  <c r="D47" i="3" s="1"/>
  <c r="D71" i="3" s="1"/>
  <c r="H34" i="3"/>
  <c r="F34" i="3"/>
  <c r="H24" i="3"/>
  <c r="M6" i="3"/>
  <c r="G10" i="3"/>
  <c r="H6" i="3" s="1"/>
  <c r="O34" i="3"/>
  <c r="E85" i="1"/>
  <c r="H85" i="1" s="1"/>
  <c r="H86" i="1" s="1"/>
  <c r="G14" i="1"/>
  <c r="H12" i="1" s="1"/>
  <c r="H8" i="1"/>
  <c r="W9" i="1" s="1"/>
  <c r="I6" i="1"/>
  <c r="X7" i="1" s="1"/>
  <c r="E75" i="1"/>
  <c r="F75" i="1" s="1"/>
  <c r="F84" i="1"/>
  <c r="F74" i="1"/>
  <c r="H49" i="1"/>
  <c r="H38" i="1"/>
  <c r="G38" i="1"/>
  <c r="G36" i="3" s="1"/>
  <c r="D11" i="1"/>
  <c r="D14" i="1" s="1"/>
  <c r="F70" i="3" l="1"/>
  <c r="E80" i="3"/>
  <c r="F80" i="3" s="1"/>
  <c r="N49" i="1"/>
  <c r="O50" i="1" s="1"/>
  <c r="O76" i="1"/>
  <c r="M85" i="1"/>
  <c r="N83" i="1"/>
  <c r="P84" i="1"/>
  <c r="P86" i="1" s="1"/>
  <c r="N84" i="1"/>
  <c r="H13" i="1"/>
  <c r="I13" i="1" s="1"/>
  <c r="M28" i="1"/>
  <c r="M37" i="1"/>
  <c r="O6" i="1"/>
  <c r="Q6" i="1" s="1"/>
  <c r="N11" i="1"/>
  <c r="H50" i="1"/>
  <c r="F59" i="1"/>
  <c r="E60" i="1"/>
  <c r="H60" i="1" s="1"/>
  <c r="H61" i="1" s="1"/>
  <c r="I8" i="1"/>
  <c r="H10" i="1"/>
  <c r="W11" i="1" s="1"/>
  <c r="H75" i="1"/>
  <c r="F24" i="3"/>
  <c r="F47" i="3"/>
  <c r="E86" i="1"/>
  <c r="H76" i="1"/>
  <c r="F85" i="1"/>
  <c r="G86" i="1" s="1"/>
  <c r="O24" i="3"/>
  <c r="E15" i="3"/>
  <c r="F14" i="3" s="1"/>
  <c r="I14" i="3" s="1"/>
  <c r="J8" i="3"/>
  <c r="O25" i="3" s="1"/>
  <c r="R25" i="3" s="1"/>
  <c r="H9" i="3"/>
  <c r="H7" i="3"/>
  <c r="H47" i="3"/>
  <c r="H80" i="3"/>
  <c r="R35" i="3"/>
  <c r="R37" i="3" s="1"/>
  <c r="P34" i="3"/>
  <c r="E76" i="1"/>
  <c r="G76" i="1"/>
  <c r="G83" i="3" l="1"/>
  <c r="G73" i="3"/>
  <c r="O77" i="1"/>
  <c r="O78" i="1" s="1"/>
  <c r="O26" i="3"/>
  <c r="R24" i="3"/>
  <c r="R26" i="3" s="1"/>
  <c r="P24" i="3"/>
  <c r="R6" i="1"/>
  <c r="O85" i="1"/>
  <c r="O86" i="1" s="1"/>
  <c r="O11" i="1"/>
  <c r="M36" i="1"/>
  <c r="M27" i="1"/>
  <c r="E61" i="1"/>
  <c r="I10" i="1"/>
  <c r="Q8" i="1" s="1"/>
  <c r="R8" i="1" s="1"/>
  <c r="X9" i="1"/>
  <c r="F60" i="1"/>
  <c r="G61" i="1" s="1"/>
  <c r="G60" i="3" s="1"/>
  <c r="F13" i="3"/>
  <c r="I13" i="3" s="1"/>
  <c r="I15" i="3" s="1"/>
  <c r="N35" i="3" s="1"/>
  <c r="P35" i="3" s="1"/>
  <c r="Q36" i="3" s="1"/>
  <c r="H46" i="3"/>
  <c r="H48" i="3" s="1"/>
  <c r="E57" i="3"/>
  <c r="F46" i="3"/>
  <c r="G48" i="3" s="1"/>
  <c r="E48" i="3"/>
  <c r="N25" i="3"/>
  <c r="P25" i="3" s="1"/>
  <c r="F23" i="3"/>
  <c r="G25" i="3" s="1"/>
  <c r="E33" i="3"/>
  <c r="H23" i="3"/>
  <c r="H25" i="3" s="1"/>
  <c r="P38" i="1"/>
  <c r="P29" i="1"/>
  <c r="Q26" i="3" l="1"/>
  <c r="Q27" i="3" s="1"/>
  <c r="P21" i="3" s="1"/>
  <c r="R10" i="1"/>
  <c r="R11" i="1" s="1"/>
  <c r="I11" i="1"/>
  <c r="X12" i="1" s="1"/>
  <c r="X11" i="1"/>
  <c r="F15" i="3"/>
  <c r="H57" i="3"/>
  <c r="E58" i="3"/>
  <c r="E59" i="3" s="1"/>
  <c r="F57" i="3"/>
  <c r="H33" i="3"/>
  <c r="H35" i="3" s="1"/>
  <c r="F33" i="3"/>
  <c r="G35" i="3" s="1"/>
  <c r="G37" i="3" s="1"/>
  <c r="G51" i="3"/>
  <c r="I51" i="3" s="1"/>
  <c r="P28" i="1"/>
  <c r="P30" i="1" s="1"/>
  <c r="G38" i="3" l="1"/>
  <c r="I38" i="3" s="1"/>
  <c r="Q37" i="3"/>
  <c r="N27" i="1"/>
  <c r="H58" i="3"/>
  <c r="H59" i="3" s="1"/>
  <c r="F58" i="3"/>
  <c r="G59" i="3" s="1"/>
  <c r="P37" i="1"/>
  <c r="P39" i="1" s="1"/>
  <c r="N36" i="1"/>
  <c r="G62" i="3" l="1"/>
  <c r="I62" i="3" s="1"/>
  <c r="G61" i="3"/>
  <c r="F28" i="1" l="1"/>
  <c r="G29" i="1" s="1"/>
  <c r="I19" i="1"/>
  <c r="L28" i="1" s="1"/>
  <c r="N28" i="1" s="1"/>
  <c r="O29" i="1" s="1"/>
  <c r="O30" i="1" s="1"/>
  <c r="O31" i="1" s="1"/>
  <c r="G26" i="3" l="1"/>
  <c r="G27" i="3" s="1"/>
  <c r="G63" i="1"/>
  <c r="G64" i="1" s="1"/>
  <c r="G78" i="1"/>
  <c r="G79" i="1" s="1"/>
  <c r="G88" i="1"/>
  <c r="G89" i="1" s="1"/>
  <c r="J17" i="1"/>
  <c r="J18" i="1"/>
  <c r="M18" i="1" s="1"/>
  <c r="G39" i="1"/>
  <c r="G40" i="1" s="1"/>
  <c r="M17" i="1" l="1"/>
  <c r="M19" i="1" s="1"/>
  <c r="L37" i="1" s="1"/>
  <c r="N37" i="1" s="1"/>
  <c r="O38" i="1" s="1"/>
  <c r="O39" i="1" s="1"/>
  <c r="O40" i="1" s="1"/>
  <c r="J19" i="1"/>
  <c r="F49" i="1"/>
  <c r="G50" i="1" s="1"/>
  <c r="O51" i="1" s="1"/>
  <c r="E82" i="3"/>
  <c r="F71" i="3"/>
  <c r="G72" i="3" s="1"/>
  <c r="G75" i="3" l="1"/>
  <c r="I75" i="3" s="1"/>
  <c r="G74" i="3"/>
  <c r="G49" i="3"/>
  <c r="G50" i="3" s="1"/>
  <c r="G52" i="1"/>
  <c r="G53" i="1" s="1"/>
  <c r="E72" i="3"/>
  <c r="H71" i="3"/>
  <c r="H72" i="3" s="1"/>
  <c r="F81" i="3"/>
  <c r="G82" i="3" s="1"/>
  <c r="H81" i="3"/>
  <c r="H82" i="3" s="1"/>
  <c r="H11" i="1"/>
  <c r="W12" i="1" s="1"/>
  <c r="O87" i="1"/>
  <c r="G85" i="3" l="1"/>
  <c r="I85" i="3" s="1"/>
  <c r="G84" i="3"/>
  <c r="M8" i="3"/>
</calcChain>
</file>

<file path=xl/comments1.xml><?xml version="1.0" encoding="utf-8"?>
<comments xmlns="http://schemas.openxmlformats.org/spreadsheetml/2006/main">
  <authors>
    <author>Shimon</author>
  </authors>
  <commentList>
    <comment ref="D28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37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5,278.71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 xml:space="preserve">ס"ה: 15,924.12
</t>
        </r>
      </text>
    </comment>
    <comment ref="D49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60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75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85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</commentList>
</comments>
</file>

<file path=xl/comments2.xml><?xml version="1.0" encoding="utf-8"?>
<comments xmlns="http://schemas.openxmlformats.org/spreadsheetml/2006/main">
  <authors>
    <author>Shimon</author>
  </authors>
  <commentList>
    <comment ref="D24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34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5,278.71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 xml:space="preserve">ס"ה: 15,924.12
</t>
        </r>
      </text>
    </comment>
    <comment ref="D47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58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71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 xml:space="preserve"> יסוד:    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8,106.70
תוספות: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Tahoma"/>
            <family val="2"/>
          </rPr>
          <t xml:space="preserve">4,019.84
</t>
        </r>
        <r>
          <rPr>
            <sz val="9"/>
            <color indexed="81"/>
            <rFont val="Tahoma"/>
            <family val="2"/>
          </rPr>
          <t xml:space="preserve">      </t>
        </r>
        <r>
          <rPr>
            <b/>
            <sz val="9"/>
            <color indexed="81"/>
            <rFont val="Tahoma"/>
            <family val="2"/>
          </rPr>
          <t>ס"ה: 12,126.54</t>
        </r>
      </text>
    </comment>
  </commentList>
</comments>
</file>

<file path=xl/sharedStrings.xml><?xml version="1.0" encoding="utf-8"?>
<sst xmlns="http://schemas.openxmlformats.org/spreadsheetml/2006/main" count="466" uniqueCount="130">
  <si>
    <t xml:space="preserve"> </t>
  </si>
  <si>
    <t xml:space="preserve">1.4.1990 </t>
  </si>
  <si>
    <t>31.7.2012</t>
  </si>
  <si>
    <t>שנים</t>
  </si>
  <si>
    <t xml:space="preserve"> 28.7.1970</t>
  </si>
  <si>
    <t>31.3.1990</t>
  </si>
  <si>
    <t xml:space="preserve">משכורת </t>
  </si>
  <si>
    <t>קובעת</t>
  </si>
  <si>
    <t xml:space="preserve">               פנסיה </t>
  </si>
  <si>
    <t>%</t>
  </si>
  <si>
    <t>₪</t>
  </si>
  <si>
    <t>חוזה:</t>
  </si>
  <si>
    <t>כתב מינוי:</t>
  </si>
  <si>
    <t>1.1.1964</t>
  </si>
  <si>
    <t>31.8.1964</t>
  </si>
  <si>
    <t>כתב מינוי</t>
  </si>
  <si>
    <t xml:space="preserve">חוזה </t>
  </si>
  <si>
    <t>תקופה:</t>
  </si>
  <si>
    <t>בכירים רמה א</t>
  </si>
  <si>
    <t xml:space="preserve">44+ מח"ר </t>
  </si>
  <si>
    <t xml:space="preserve">אחוז מתוך </t>
  </si>
  <si>
    <t>שנות שרות</t>
  </si>
  <si>
    <t>ארעי (נרכש):</t>
  </si>
  <si>
    <t>פער (לרעתי):</t>
  </si>
  <si>
    <t>סה"כ פנסיה:</t>
  </si>
  <si>
    <t>נתוני יסוד</t>
  </si>
  <si>
    <t>פרטי שכר 44+:</t>
  </si>
  <si>
    <t xml:space="preserve">      תוספות</t>
  </si>
  <si>
    <t xml:space="preserve">           יסוד</t>
  </si>
  <si>
    <t>חודשים</t>
  </si>
  <si>
    <r>
      <rPr>
        <sz val="11"/>
        <color theme="1"/>
        <rFont val="Arial"/>
        <family val="2"/>
        <scheme val="minor"/>
      </rPr>
      <t xml:space="preserve">             </t>
    </r>
    <r>
      <rPr>
        <b/>
        <u/>
        <sz val="12"/>
        <color theme="1"/>
        <rFont val="Arial"/>
        <family val="2"/>
        <charset val="177"/>
        <scheme val="minor"/>
      </rPr>
      <t>תקופת עבודה</t>
    </r>
  </si>
  <si>
    <t>ס"ה 44+:</t>
  </si>
  <si>
    <t>אחוז מהמשכורת</t>
  </si>
  <si>
    <t>(שנים לפי 2%=)</t>
  </si>
  <si>
    <t xml:space="preserve">46+ מח"ר </t>
  </si>
  <si>
    <t>פרטי שכר 46+:</t>
  </si>
  <si>
    <t>ס"ה 46+:</t>
  </si>
  <si>
    <t>לחודש!.</t>
  </si>
  <si>
    <t>משכורת</t>
  </si>
  <si>
    <t>(כאמור: ע"פ נוסחת הנש"מ: ככל שתקופת כתב המינוי ארוכה יותר-הפנסיה קטנה יותר)</t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</si>
  <si>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(נתונים 42.67 שנים כנ"ל ומקסימום 70% פנסיה</t>
    </r>
    <r>
      <rPr>
        <b/>
        <u/>
        <sz val="12"/>
        <color theme="1"/>
        <rFont val="Arial"/>
        <family val="2"/>
        <scheme val="minor"/>
      </rPr>
      <t>) דרגה 46+</t>
    </r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</si>
  <si>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(נתונים 42.67 שנים כנ"ל ומקסימום 70% פנסיה</t>
    </r>
    <r>
      <rPr>
        <b/>
        <u/>
        <sz val="12"/>
        <color theme="1"/>
        <rFont val="Arial"/>
        <family val="2"/>
        <scheme val="minor"/>
      </rPr>
      <t>) דרגה 44+</t>
    </r>
  </si>
  <si>
    <t xml:space="preserve">פער בין פנסיה לפי חוזה (ללא שקלול) לנוסחת נש"ם בדרגה 44+ </t>
  </si>
  <si>
    <t xml:space="preserve">פער בין פנסיה לפי חוזה (ללא שקלול) לנוסחת נש"ם בדרגה 46+ </t>
  </si>
  <si>
    <t>1.8.2012</t>
  </si>
  <si>
    <t>31.3.2014</t>
  </si>
  <si>
    <t>ס"ה שרות עד תום חוזה:</t>
  </si>
  <si>
    <t>ס"ה חודשים</t>
  </si>
  <si>
    <t>אחוז מתוך שנים</t>
  </si>
  <si>
    <t>שאושרו לפנסיה</t>
  </si>
  <si>
    <t xml:space="preserve">פער בין פנסיה לפי חוזה (ללא שקלול) לנוסחת נש"ם בדרגה44+ </t>
  </si>
  <si>
    <t>חישובי פנסיה ללא הגבלה של 70%</t>
  </si>
  <si>
    <t>חישובי פנסיה מוגבלת ל-70 אחוז</t>
  </si>
  <si>
    <t>ס"ה:</t>
  </si>
  <si>
    <t>סה"כ בחוזה</t>
  </si>
  <si>
    <r>
      <rPr>
        <sz val="11"/>
        <color theme="1"/>
        <rFont val="Arial"/>
        <family val="2"/>
        <scheme val="minor"/>
      </rPr>
      <t xml:space="preserve">         </t>
    </r>
    <r>
      <rPr>
        <b/>
        <u/>
        <sz val="12"/>
        <color theme="1"/>
        <rFont val="Arial"/>
        <family val="2"/>
        <charset val="177"/>
        <scheme val="minor"/>
      </rPr>
      <t>תקופת עבודה</t>
    </r>
  </si>
  <si>
    <t>כלל השרות</t>
  </si>
  <si>
    <r>
      <rPr>
        <b/>
        <sz val="11"/>
        <color theme="1"/>
        <rFont val="Arial"/>
        <family val="2"/>
        <scheme val="minor"/>
      </rPr>
      <t>ס"ה:</t>
    </r>
    <r>
      <rPr>
        <sz val="11"/>
        <color theme="1"/>
        <rFont val="Arial"/>
        <family val="2"/>
        <charset val="177"/>
        <scheme val="minor"/>
      </rPr>
      <t xml:space="preserve"> </t>
    </r>
  </si>
  <si>
    <t xml:space="preserve">                   פנסיה רק עד 31.7.12:</t>
  </si>
  <si>
    <t>פער בין דרגה 46+ ל- 44+ -בנוסחת נש"מ:</t>
  </si>
  <si>
    <t xml:space="preserve">        פער בין פנסיה לפי חוזה (ללא שקלול) לנוסחת נש"ם בדרגה 44+: </t>
  </si>
  <si>
    <t>תוספת לגימלה:</t>
  </si>
  <si>
    <t xml:space="preserve">                     פנסיה רק עד 31.7.12:</t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</si>
  <si>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(נתונים 43.33 שנים כנ"ל ומקסימום 70% פנסיה</t>
    </r>
    <r>
      <rPr>
        <b/>
        <u/>
        <sz val="12"/>
        <color theme="1"/>
        <rFont val="Arial"/>
        <family val="2"/>
        <scheme val="minor"/>
      </rPr>
      <t>) דרגה 46+</t>
    </r>
  </si>
  <si>
    <t>לכל השנים בחוזה (24) והיתרה -עד 70%לפי 44+</t>
  </si>
  <si>
    <t>לכל השנים בחוזה (24) והיתרה -עד 70%-לפי 46+י</t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</si>
  <si>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(נתונים 43.33 שנים כנ"ל ומקסימום 70% פנסיה)</t>
    </r>
    <r>
      <rPr>
        <b/>
        <u/>
        <sz val="12"/>
        <color theme="1"/>
        <rFont val="Arial"/>
        <family val="2"/>
        <scheme val="minor"/>
      </rPr>
      <t xml:space="preserve"> דרגה 44+</t>
    </r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</si>
  <si>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פנסיה על כל 43.33 השנים כנ"ל</t>
    </r>
    <r>
      <rPr>
        <b/>
        <u/>
        <sz val="12"/>
        <color theme="1"/>
        <rFont val="Arial"/>
        <family val="2"/>
        <scheme val="minor"/>
      </rPr>
      <t xml:space="preserve"> דרגה 44+</t>
    </r>
    <r>
      <rPr>
        <u/>
        <sz val="12"/>
        <color theme="1"/>
        <rFont val="Arial"/>
        <family val="2"/>
        <scheme val="minor"/>
      </rPr>
      <t xml:space="preserve"> (ללא הגבלה ל-70%)</t>
    </r>
  </si>
  <si>
    <t xml:space="preserve">     פער בין פנסיה לפי חוזה (ללא שקלול) לנוסחת נש"ם בדרגה 46+:</t>
  </si>
  <si>
    <t xml:space="preserve">    פער בין פנסיה לפי חוזה (ללא שקלול) לנוסחת נש"ם בדרגה 44+: </t>
  </si>
  <si>
    <t xml:space="preserve">  31/07/2012</t>
  </si>
  <si>
    <t>נוסחת נש"מ</t>
  </si>
  <si>
    <t>ס"ה כתב מינוי</t>
  </si>
  <si>
    <t>ס"ה שרות</t>
  </si>
  <si>
    <t xml:space="preserve">ס"ה שרות </t>
  </si>
  <si>
    <t xml:space="preserve">         לתקופת שרות:  42.67 שנים</t>
  </si>
  <si>
    <t>אין הבדל</t>
  </si>
  <si>
    <t xml:space="preserve">              פער:</t>
  </si>
  <si>
    <t>לחודש</t>
  </si>
  <si>
    <t xml:space="preserve">    יחס חוזה/כ.מינוי</t>
  </si>
  <si>
    <t xml:space="preserve">         יחס חוזה/כ.מינוי</t>
  </si>
  <si>
    <t xml:space="preserve">  שנים</t>
  </si>
  <si>
    <t>מיום</t>
  </si>
  <si>
    <t>עד יום</t>
  </si>
  <si>
    <r>
      <t xml:space="preserve">אילו </t>
    </r>
    <r>
      <rPr>
        <b/>
        <u/>
        <sz val="11"/>
        <color theme="1"/>
        <rFont val="Arial"/>
        <family val="2"/>
        <scheme val="minor"/>
      </rPr>
      <t>לא</t>
    </r>
    <r>
      <rPr>
        <sz val="11"/>
        <color theme="1"/>
        <rFont val="Arial"/>
        <family val="2"/>
        <charset val="177"/>
        <scheme val="minor"/>
      </rPr>
      <t xml:space="preserve"> הייתי רוכש תקופת ארעיות (8 חודשים)</t>
    </r>
  </si>
  <si>
    <t>אילו לא העברתי ממבטחים</t>
  </si>
  <si>
    <t xml:space="preserve"> יחס חוזה/כ.מינוי לפי נש"מ</t>
  </si>
  <si>
    <t xml:space="preserve">      פער מינימלי (לטובתי)</t>
  </si>
  <si>
    <t>לשנה</t>
  </si>
  <si>
    <r>
      <t xml:space="preserve">(כלאמר:ע"פ נוסחת נש"מ, העברת זכויותי במבטחים למדינה </t>
    </r>
    <r>
      <rPr>
        <b/>
        <u/>
        <sz val="9"/>
        <color theme="1"/>
        <rFont val="Arial"/>
        <family val="2"/>
        <scheme val="minor"/>
      </rPr>
      <t>הקטינה</t>
    </r>
    <r>
      <rPr>
        <sz val="9"/>
        <color theme="1"/>
        <rFont val="Arial"/>
        <family val="2"/>
        <charset val="177"/>
        <scheme val="minor"/>
      </rPr>
      <t xml:space="preserve"> את הפנסיה שלי וגם אינני מקבל פנסיה ממבטחים</t>
    </r>
  </si>
  <si>
    <r>
      <t xml:space="preserve">                     פער </t>
    </r>
    <r>
      <rPr>
        <b/>
        <u/>
        <sz val="9"/>
        <color theme="1"/>
        <rFont val="Arial"/>
        <family val="2"/>
        <scheme val="minor"/>
      </rPr>
      <t>נוסף</t>
    </r>
    <r>
      <rPr>
        <b/>
        <sz val="9"/>
        <color theme="1"/>
        <rFont val="Arial"/>
        <family val="2"/>
        <scheme val="minor"/>
      </rPr>
      <t xml:space="preserve"> (לרעתי):</t>
    </r>
  </si>
  <si>
    <t xml:space="preserve">       אך יכולתי לא להעביר את מבטחים למדינה ולקבל פנסיה נוספת ממבטחים</t>
  </si>
  <si>
    <t/>
  </si>
  <si>
    <t>השלמת חוזה:</t>
  </si>
  <si>
    <t>נטו לטובתי:</t>
  </si>
  <si>
    <t>לשנה:</t>
  </si>
  <si>
    <r>
      <t xml:space="preserve">נוסחת נש"מ </t>
    </r>
    <r>
      <rPr>
        <u/>
        <sz val="12"/>
        <color theme="1"/>
        <rFont val="Arial"/>
        <family val="2"/>
        <scheme val="minor"/>
      </rPr>
      <t>(שקלול של  42.67שנים כנ"ל)</t>
    </r>
    <r>
      <rPr>
        <b/>
        <u/>
        <sz val="12"/>
        <color theme="1"/>
        <rFont val="Arial"/>
        <family val="2"/>
        <scheme val="minor"/>
      </rPr>
      <t xml:space="preserve"> אך בדרגה 46+. פנסיה מקסימלית:</t>
    </r>
    <r>
      <rPr>
        <u/>
        <sz val="12"/>
        <color theme="1"/>
        <rFont val="Arial"/>
        <family val="2"/>
        <scheme val="minor"/>
      </rPr>
      <t xml:space="preserve"> 70%</t>
    </r>
    <r>
      <rPr>
        <b/>
        <u/>
        <sz val="12"/>
        <color theme="1"/>
        <rFont val="Arial"/>
        <family val="2"/>
        <scheme val="minor"/>
      </rPr>
      <t xml:space="preserve">) </t>
    </r>
  </si>
  <si>
    <r>
      <rPr>
        <sz val="12"/>
        <color theme="1"/>
        <rFont val="Arial"/>
        <family val="2"/>
        <scheme val="minor"/>
      </rPr>
      <t xml:space="preserve"> </t>
    </r>
    <r>
      <rPr>
        <b/>
        <u/>
        <sz val="12"/>
        <color theme="1"/>
        <rFont val="Arial"/>
        <family val="2"/>
        <scheme val="minor"/>
      </rPr>
      <t xml:space="preserve">נוסחת נש"ם נוכחית </t>
    </r>
    <r>
      <rPr>
        <u/>
        <sz val="12"/>
        <color theme="1"/>
        <rFont val="Arial"/>
        <family val="2"/>
        <scheme val="minor"/>
      </rPr>
      <t>(שקלול-42.67שנים) ו</t>
    </r>
    <r>
      <rPr>
        <b/>
        <u/>
        <sz val="12"/>
        <color theme="1"/>
        <rFont val="Arial"/>
        <family val="2"/>
        <scheme val="minor"/>
      </rPr>
      <t>דרגה 44+</t>
    </r>
    <r>
      <rPr>
        <u/>
        <sz val="12"/>
        <color theme="1"/>
        <rFont val="Arial"/>
        <family val="2"/>
        <scheme val="minor"/>
      </rPr>
      <t>. פנסיה מקסימלית: 70%</t>
    </r>
  </si>
  <si>
    <t>פער בין דרגה 44+ ל- 46+ -נוסחת נש"מ:</t>
  </si>
  <si>
    <r>
      <t>פער</t>
    </r>
    <r>
      <rPr>
        <b/>
        <sz val="9"/>
        <color theme="1"/>
        <rFont val="Arial"/>
        <family val="2"/>
        <scheme val="minor"/>
      </rPr>
      <t>(לרעתי):</t>
    </r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</si>
  <si>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פנסיה על כל 42.67 השנים כנ"ל</t>
    </r>
    <r>
      <rPr>
        <b/>
        <u/>
        <sz val="12"/>
        <color theme="1"/>
        <rFont val="Arial"/>
        <family val="2"/>
        <scheme val="minor"/>
      </rPr>
      <t xml:space="preserve"> דרגה 44+</t>
    </r>
    <r>
      <rPr>
        <u/>
        <sz val="12"/>
        <color theme="1"/>
        <rFont val="Arial"/>
        <family val="2"/>
        <scheme val="minor"/>
      </rPr>
      <t xml:space="preserve"> ללא הגבלת 70%</t>
    </r>
  </si>
  <si>
    <t xml:space="preserve">  שנים ללא "השלמת חוזה" </t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</si>
  <si>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פנסיה על כל 42.67 השנים כנ"ל</t>
    </r>
    <r>
      <rPr>
        <b/>
        <u/>
        <sz val="12"/>
        <color theme="1"/>
        <rFont val="Arial"/>
        <family val="2"/>
        <scheme val="minor"/>
      </rPr>
      <t xml:space="preserve"> דרגה 46+ </t>
    </r>
    <r>
      <rPr>
        <u/>
        <sz val="12"/>
        <color theme="1"/>
        <rFont val="Arial"/>
        <family val="2"/>
        <scheme val="minor"/>
      </rPr>
      <t>ללא הגבלת 70%</t>
    </r>
  </si>
  <si>
    <t>נ ת ו נ י   י ס ו ד</t>
  </si>
  <si>
    <t>לכל השנים בחוזה (2X22.33) והשלמה ל70% לפי 44+</t>
  </si>
  <si>
    <t>לכל השנים בחוזה (2X22.33) והשלמה ל70% לפי 46+</t>
  </si>
  <si>
    <t xml:space="preserve">         העברת מבטחים למדינה לא הגדילה את הפנסיה שלי והפסדתי פנסיה של מבטחים</t>
  </si>
  <si>
    <r>
      <t xml:space="preserve">       העברת מבטחים למדינה </t>
    </r>
    <r>
      <rPr>
        <b/>
        <u/>
        <sz val="9"/>
        <color theme="1"/>
        <rFont val="Arial"/>
        <family val="2"/>
        <scheme val="minor"/>
      </rPr>
      <t>מגדילה</t>
    </r>
    <r>
      <rPr>
        <sz val="9"/>
        <color theme="1"/>
        <rFont val="Arial"/>
        <family val="2"/>
        <charset val="177"/>
        <scheme val="minor"/>
      </rPr>
      <t xml:space="preserve"> גמלתי ב:</t>
    </r>
  </si>
  <si>
    <t>פער (לטובתי):</t>
  </si>
  <si>
    <t>ברור שלא הייתי מעביר את זכויותי למדינה לו ידעתי שיחשבו את הגימלה לפי נוסחת נש"מ</t>
  </si>
  <si>
    <r>
      <t xml:space="preserve">סך </t>
    </r>
    <r>
      <rPr>
        <b/>
        <u/>
        <sz val="9"/>
        <color theme="1"/>
        <rFont val="Arial"/>
        <family val="2"/>
        <scheme val="minor"/>
      </rPr>
      <t xml:space="preserve">הפסד </t>
    </r>
    <r>
      <rPr>
        <sz val="9"/>
        <color theme="1"/>
        <rFont val="Arial"/>
        <family val="2"/>
        <charset val="177"/>
        <scheme val="minor"/>
      </rPr>
      <t xml:space="preserve">שלי בגלל העברת זכויותי במבטחים: </t>
    </r>
  </si>
  <si>
    <r>
      <t xml:space="preserve">סך </t>
    </r>
    <r>
      <rPr>
        <b/>
        <u/>
        <sz val="9"/>
        <color theme="1"/>
        <rFont val="Arial"/>
        <family val="2"/>
        <scheme val="minor"/>
      </rPr>
      <t>הפסד</t>
    </r>
    <r>
      <rPr>
        <sz val="9"/>
        <color theme="1"/>
        <rFont val="Arial"/>
        <family val="2"/>
        <charset val="177"/>
        <scheme val="minor"/>
      </rPr>
      <t xml:space="preserve"> שלי בגלל העברת זכויותי במבטחים: </t>
    </r>
  </si>
  <si>
    <t>סה"כ שרות:</t>
  </si>
  <si>
    <r>
      <rPr>
        <sz val="12"/>
        <color theme="1"/>
        <rFont val="Arial"/>
        <family val="2"/>
        <scheme val="minor"/>
      </rPr>
      <t xml:space="preserve"> </t>
    </r>
    <r>
      <rPr>
        <b/>
        <u/>
        <sz val="12"/>
        <color theme="1"/>
        <rFont val="Arial"/>
        <family val="2"/>
        <scheme val="minor"/>
      </rPr>
      <t xml:space="preserve">נוסחת נש"ם נוכחית </t>
    </r>
    <r>
      <rPr>
        <u/>
        <sz val="12"/>
        <color theme="1"/>
        <rFont val="Arial"/>
        <family val="2"/>
        <scheme val="minor"/>
      </rPr>
      <t>(שקלול-45שנים) ודרגה 44+. פנסיה מקסימלית של 70%</t>
    </r>
  </si>
  <si>
    <r>
      <t xml:space="preserve">נוסחת נש"מ אך בדרגה 46+ </t>
    </r>
    <r>
      <rPr>
        <u/>
        <sz val="12"/>
        <color theme="1"/>
        <rFont val="Arial"/>
        <family val="2"/>
        <scheme val="minor"/>
      </rPr>
      <t>(שקלול של 45 שנים כנ"ל ומקסימום 70% פנסיה</t>
    </r>
    <r>
      <rPr>
        <b/>
        <u/>
        <sz val="12"/>
        <color theme="1"/>
        <rFont val="Arial"/>
        <family val="2"/>
        <scheme val="minor"/>
      </rPr>
      <t xml:space="preserve">) </t>
    </r>
  </si>
  <si>
    <r>
      <t xml:space="preserve">נוסחה לפי </t>
    </r>
    <r>
      <rPr>
        <b/>
        <i/>
        <u/>
        <sz val="14"/>
        <color theme="1"/>
        <rFont val="Arial"/>
        <family val="2"/>
        <scheme val="minor"/>
      </rPr>
      <t>החוזה</t>
    </r>
    <r>
      <rPr>
        <b/>
        <u/>
        <sz val="12"/>
        <color theme="1"/>
        <rFont val="Arial"/>
        <family val="2"/>
        <scheme val="minor"/>
      </rPr>
      <t xml:space="preserve">: </t>
    </r>
    <r>
      <rPr>
        <u/>
        <sz val="12"/>
        <color theme="1"/>
        <rFont val="Arial"/>
        <family val="2"/>
        <scheme val="minor"/>
      </rPr>
      <t>פנסיה על כל45 השנים כנ"ל</t>
    </r>
    <r>
      <rPr>
        <b/>
        <u/>
        <sz val="12"/>
        <color theme="1"/>
        <rFont val="Arial"/>
        <family val="2"/>
        <scheme val="minor"/>
      </rPr>
      <t xml:space="preserve"> דרגה 46+ (</t>
    </r>
    <r>
      <rPr>
        <u/>
        <sz val="12"/>
        <color theme="1"/>
        <rFont val="Arial"/>
        <family val="2"/>
        <scheme val="minor"/>
      </rPr>
      <t>ללא הגבלת 70%)</t>
    </r>
  </si>
  <si>
    <r>
      <t xml:space="preserve">חישובי פנסיה לחוזה עד 31.3.14 </t>
    </r>
    <r>
      <rPr>
        <u val="double"/>
        <sz val="14"/>
        <color theme="1"/>
        <rFont val="Arial"/>
        <family val="2"/>
        <scheme val="minor"/>
      </rPr>
      <t xml:space="preserve">(כולל השלמת חוזה) </t>
    </r>
    <r>
      <rPr>
        <b/>
        <u val="double"/>
        <sz val="14"/>
        <color theme="1"/>
        <rFont val="Arial"/>
        <family val="2"/>
        <scheme val="minor"/>
      </rPr>
      <t>מוגבלת ל-70 אחוז</t>
    </r>
  </si>
  <si>
    <t>כ. מינוי+חוזה:</t>
  </si>
  <si>
    <t xml:space="preserve">  תקופה שחלפה מהפרישה</t>
  </si>
  <si>
    <t xml:space="preserve">   בהשוואה לפנסיה רק עד 31.7.12:</t>
  </si>
  <si>
    <t xml:space="preserve">רכישת הזכויות ל"תקופת מבטחים" האריכה את השרות המוכר לפנסיה מ-44.33שנה ל-45 שנה </t>
  </si>
  <si>
    <t>כמפורט להלן:</t>
  </si>
  <si>
    <t>תקרת פנסיה</t>
  </si>
  <si>
    <r>
      <t xml:space="preserve">        אך </t>
    </r>
    <r>
      <rPr>
        <b/>
        <u/>
        <sz val="9"/>
        <color theme="1"/>
        <rFont val="Arial"/>
        <family val="2"/>
        <scheme val="minor"/>
      </rPr>
      <t>הפנסיה קטנה</t>
    </r>
    <r>
      <rPr>
        <sz val="9"/>
        <color theme="1"/>
        <rFont val="Arial"/>
        <family val="2"/>
        <charset val="177"/>
        <scheme val="minor"/>
      </rPr>
      <t xml:space="preserve"> בסכום  של</t>
    </r>
  </si>
  <si>
    <t>(כלאמר: ההגבלה ל-70%, ככל שתקופת כתב המינוי ארוכה יותר-הפנסיה קטנה יותר)</t>
  </si>
  <si>
    <t xml:space="preserve">מתוך פנסיה </t>
  </si>
  <si>
    <t xml:space="preserve">העברתי זכויותי במבטחים למדינה לאחר שהובהר לי שהפנסיה שלי תגדל. בפועל  </t>
  </si>
  <si>
    <t xml:space="preserve">לפי נוסחת הנש"מ, הפנסיה ללא "התקופה הנרכשת" (רק 42 במקום 42.67 שנים) </t>
  </si>
  <si>
    <r>
      <t xml:space="preserve">       היתה</t>
    </r>
    <r>
      <rPr>
        <b/>
        <sz val="9"/>
        <color theme="1"/>
        <rFont val="Arial"/>
        <family val="2"/>
        <scheme val="minor"/>
      </rPr>
      <t xml:space="preserve"> </t>
    </r>
    <r>
      <rPr>
        <b/>
        <u/>
        <sz val="9"/>
        <color theme="1"/>
        <rFont val="Arial"/>
        <family val="2"/>
        <scheme val="minor"/>
      </rPr>
      <t>גבוהה</t>
    </r>
    <r>
      <rPr>
        <u/>
        <sz val="9"/>
        <color theme="1"/>
        <rFont val="Arial"/>
        <family val="2"/>
        <scheme val="minor"/>
      </rPr>
      <t xml:space="preserve"> </t>
    </r>
    <r>
      <rPr>
        <sz val="9"/>
        <color theme="1"/>
        <rFont val="Arial"/>
        <family val="2"/>
        <charset val="177"/>
        <scheme val="minor"/>
      </rPr>
      <t>יותר בסך של</t>
    </r>
  </si>
  <si>
    <t xml:space="preserve"> לחודש.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</si>
</sst>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₪&quot;\ #,##0.00;&quot;₪&quot;\ \-#,##0.00"/>
    <numFmt numFmtId="43" formatCode="_ * #,##0.00_ ;_ * \-#,##0.00_ ;_ * &quot;-&quot;??_ ;_ @_ "/>
    <numFmt numFmtId="166" formatCode="_ * #,##0_ ;_ * \-#,##0_ ;_ * &quot;-&quot;??_ ;_ @_ "/>
    <numFmt numFmtId="172" formatCode="0.000%"/>
    <numFmt numFmtId="178" formatCode="0.000"/>
    <numFmt numFmtId="180" formatCode="0.00000000000000%"/>
  </numFmts>
  <fonts count="4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u val="singleAccounting"/>
      <sz val="11"/>
      <color theme="1"/>
      <name val="Arial"/>
      <family val="2"/>
      <charset val="177"/>
      <scheme val="minor"/>
    </font>
    <font>
      <sz val="9"/>
      <color theme="1"/>
      <name val="Arial"/>
      <family val="2"/>
      <charset val="177"/>
      <scheme val="minor"/>
    </font>
    <font>
      <u val="singleAccounting"/>
      <sz val="9"/>
      <color theme="1"/>
      <name val="Arial"/>
      <family val="2"/>
      <charset val="177"/>
      <scheme val="minor"/>
    </font>
    <font>
      <u/>
      <sz val="11"/>
      <color theme="1"/>
      <name val="Arial"/>
      <family val="2"/>
      <charset val="177"/>
      <scheme val="minor"/>
    </font>
    <font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charset val="177"/>
      <scheme val="minor"/>
    </font>
    <font>
      <u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u/>
      <sz val="8"/>
      <color theme="1"/>
      <name val="Arial"/>
      <family val="2"/>
      <charset val="177"/>
      <scheme val="minor"/>
    </font>
    <font>
      <u/>
      <sz val="9"/>
      <color theme="1"/>
      <name val="Arial"/>
      <family val="2"/>
      <charset val="177"/>
      <scheme val="minor"/>
    </font>
    <font>
      <sz val="8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u/>
      <sz val="8"/>
      <color theme="1"/>
      <name val="Arial"/>
      <family val="2"/>
      <scheme val="minor"/>
    </font>
    <font>
      <u/>
      <sz val="9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singleAccounting"/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u/>
      <sz val="12"/>
      <color theme="1"/>
      <name val="Arial"/>
      <family val="2"/>
      <scheme val="minor"/>
    </font>
    <font>
      <b/>
      <sz val="9"/>
      <color theme="1"/>
      <name val="Arial"/>
      <family val="2"/>
      <charset val="177"/>
      <scheme val="minor"/>
    </font>
    <font>
      <b/>
      <u/>
      <sz val="9"/>
      <color theme="1"/>
      <name val="Arial"/>
      <family val="2"/>
      <charset val="177"/>
      <scheme val="minor"/>
    </font>
    <font>
      <b/>
      <sz val="9"/>
      <color rgb="FFFF0000"/>
      <name val="Arial"/>
      <family val="2"/>
      <scheme val="minor"/>
    </font>
    <font>
      <b/>
      <i/>
      <u/>
      <sz val="14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u val="double"/>
      <sz val="14"/>
      <color theme="1"/>
      <name val="Arial"/>
      <family val="2"/>
      <scheme val="minor"/>
    </font>
    <font>
      <u val="singleAccounting"/>
      <sz val="8"/>
      <color theme="1"/>
      <name val="Arial"/>
      <family val="2"/>
      <scheme val="minor"/>
    </font>
    <font>
      <b/>
      <u val="doubleAccounting"/>
      <sz val="8"/>
      <color theme="1"/>
      <name val="Arial"/>
      <family val="2"/>
      <scheme val="minor"/>
    </font>
    <font>
      <b/>
      <sz val="8"/>
      <color theme="1"/>
      <name val="Arial"/>
      <family val="2"/>
      <charset val="177"/>
      <scheme val="minor"/>
    </font>
    <font>
      <u val="doubleAccounting"/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u val="double"/>
      <sz val="14"/>
      <color theme="1"/>
      <name val="Arial"/>
      <family val="2"/>
      <scheme val="minor"/>
    </font>
    <font>
      <u val="double"/>
      <sz val="9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1">
    <xf numFmtId="0" fontId="0" fillId="0" borderId="0" xfId="0"/>
    <xf numFmtId="43" fontId="0" fillId="0" borderId="0" xfId="1" applyNumberFormat="1" applyFont="1"/>
    <xf numFmtId="2" fontId="0" fillId="0" borderId="0" xfId="0" applyNumberFormat="1"/>
    <xf numFmtId="43" fontId="3" fillId="0" borderId="0" xfId="1" applyNumberFormat="1" applyFont="1"/>
    <xf numFmtId="43" fontId="0" fillId="0" borderId="0" xfId="0" applyNumberFormat="1"/>
    <xf numFmtId="43" fontId="3" fillId="0" borderId="0" xfId="0" applyNumberFormat="1" applyFont="1"/>
    <xf numFmtId="10" fontId="0" fillId="0" borderId="0" xfId="0" applyNumberFormat="1"/>
    <xf numFmtId="9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2" fontId="0" fillId="0" borderId="0" xfId="2" applyNumberFormat="1" applyFont="1"/>
    <xf numFmtId="172" fontId="17" fillId="0" borderId="0" xfId="2" applyNumberFormat="1" applyFont="1"/>
    <xf numFmtId="0" fontId="17" fillId="0" borderId="0" xfId="0" applyFont="1"/>
    <xf numFmtId="172" fontId="15" fillId="0" borderId="0" xfId="2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172" fontId="20" fillId="0" borderId="0" xfId="2" applyNumberFormat="1" applyFont="1"/>
    <xf numFmtId="0" fontId="14" fillId="0" borderId="0" xfId="0" applyFont="1"/>
    <xf numFmtId="10" fontId="21" fillId="0" borderId="0" xfId="2" applyNumberFormat="1" applyFont="1"/>
    <xf numFmtId="43" fontId="18" fillId="0" borderId="0" xfId="0" applyNumberFormat="1" applyFont="1"/>
    <xf numFmtId="0" fontId="9" fillId="0" borderId="0" xfId="0" applyFont="1" applyAlignment="1">
      <alignment horizontal="center"/>
    </xf>
    <xf numFmtId="10" fontId="8" fillId="0" borderId="0" xfId="2" applyNumberFormat="1" applyFont="1"/>
    <xf numFmtId="0" fontId="22" fillId="0" borderId="0" xfId="0" applyFont="1" applyAlignment="1">
      <alignment horizontal="center"/>
    </xf>
    <xf numFmtId="43" fontId="0" fillId="0" borderId="0" xfId="0" applyNumberFormat="1" applyFont="1"/>
    <xf numFmtId="0" fontId="0" fillId="0" borderId="0" xfId="0" quotePrefix="1"/>
    <xf numFmtId="2" fontId="6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2" fontId="0" fillId="0" borderId="8" xfId="0" applyNumberFormat="1" applyBorder="1"/>
    <xf numFmtId="0" fontId="18" fillId="0" borderId="15" xfId="0" applyFont="1" applyBorder="1"/>
    <xf numFmtId="43" fontId="18" fillId="0" borderId="16" xfId="0" applyNumberFormat="1" applyFont="1" applyBorder="1"/>
    <xf numFmtId="10" fontId="4" fillId="0" borderId="0" xfId="2" applyNumberFormat="1" applyFont="1" applyBorder="1"/>
    <xf numFmtId="0" fontId="14" fillId="0" borderId="0" xfId="0" applyFont="1" applyBorder="1"/>
    <xf numFmtId="10" fontId="16" fillId="0" borderId="0" xfId="2" applyNumberFormat="1" applyFont="1" applyBorder="1"/>
    <xf numFmtId="2" fontId="0" fillId="0" borderId="0" xfId="0" applyNumberFormat="1" applyBorder="1"/>
    <xf numFmtId="10" fontId="4" fillId="0" borderId="6" xfId="2" applyNumberFormat="1" applyFont="1" applyBorder="1"/>
    <xf numFmtId="10" fontId="16" fillId="0" borderId="4" xfId="2" applyNumberFormat="1" applyFont="1" applyBorder="1"/>
    <xf numFmtId="10" fontId="4" fillId="0" borderId="19" xfId="2" applyNumberFormat="1" applyFont="1" applyBorder="1"/>
    <xf numFmtId="0" fontId="0" fillId="0" borderId="18" xfId="0" applyBorder="1"/>
    <xf numFmtId="10" fontId="16" fillId="0" borderId="21" xfId="2" applyNumberFormat="1" applyFont="1" applyBorder="1"/>
    <xf numFmtId="0" fontId="14" fillId="0" borderId="0" xfId="0" applyFont="1" applyBorder="1" applyAlignment="1">
      <alignment horizontal="center"/>
    </xf>
    <xf numFmtId="10" fontId="4" fillId="0" borderId="21" xfId="2" applyNumberFormat="1" applyFont="1" applyBorder="1"/>
    <xf numFmtId="10" fontId="4" fillId="0" borderId="0" xfId="2" quotePrefix="1" applyNumberFormat="1" applyFont="1" applyBorder="1"/>
    <xf numFmtId="10" fontId="4" fillId="0" borderId="4" xfId="2" applyNumberFormat="1" applyFont="1" applyBorder="1"/>
    <xf numFmtId="0" fontId="18" fillId="0" borderId="2" xfId="0" applyFont="1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28" xfId="0" applyBorder="1"/>
    <xf numFmtId="0" fontId="6" fillId="0" borderId="28" xfId="0" applyFont="1" applyBorder="1"/>
    <xf numFmtId="10" fontId="16" fillId="0" borderId="25" xfId="2" applyNumberFormat="1" applyFont="1" applyBorder="1"/>
    <xf numFmtId="0" fontId="18" fillId="0" borderId="0" xfId="0" applyFont="1" applyBorder="1"/>
    <xf numFmtId="43" fontId="18" fillId="0" borderId="0" xfId="0" applyNumberFormat="1" applyFont="1" applyBorder="1"/>
    <xf numFmtId="43" fontId="5" fillId="0" borderId="29" xfId="1" applyNumberFormat="1" applyFont="1" applyBorder="1"/>
    <xf numFmtId="0" fontId="18" fillId="0" borderId="4" xfId="0" applyFont="1" applyBorder="1" applyAlignment="1">
      <alignment horizontal="center"/>
    </xf>
    <xf numFmtId="0" fontId="0" fillId="0" borderId="25" xfId="0" applyBorder="1"/>
    <xf numFmtId="0" fontId="0" fillId="0" borderId="19" xfId="0" applyBorder="1"/>
    <xf numFmtId="10" fontId="8" fillId="0" borderId="0" xfId="2" applyNumberFormat="1" applyFont="1" applyBorder="1"/>
    <xf numFmtId="10" fontId="21" fillId="0" borderId="0" xfId="2" applyNumberFormat="1" applyFont="1" applyBorder="1"/>
    <xf numFmtId="0" fontId="0" fillId="0" borderId="8" xfId="0" applyBorder="1"/>
    <xf numFmtId="10" fontId="0" fillId="0" borderId="30" xfId="0" applyNumberFormat="1" applyBorder="1"/>
    <xf numFmtId="10" fontId="6" fillId="0" borderId="5" xfId="0" applyNumberFormat="1" applyFont="1" applyBorder="1"/>
    <xf numFmtId="10" fontId="8" fillId="0" borderId="5" xfId="2" applyNumberFormat="1" applyFont="1" applyBorder="1"/>
    <xf numFmtId="10" fontId="21" fillId="0" borderId="5" xfId="2" applyNumberFormat="1" applyFont="1" applyBorder="1"/>
    <xf numFmtId="1" fontId="0" fillId="0" borderId="26" xfId="0" applyNumberFormat="1" applyBorder="1"/>
    <xf numFmtId="1" fontId="0" fillId="0" borderId="27" xfId="0" applyNumberFormat="1" applyBorder="1"/>
    <xf numFmtId="1" fontId="0" fillId="0" borderId="0" xfId="0" applyNumberFormat="1" applyBorder="1"/>
    <xf numFmtId="1" fontId="0" fillId="0" borderId="7" xfId="0" applyNumberFormat="1" applyBorder="1"/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4" fillId="0" borderId="0" xfId="0" applyFont="1" applyBorder="1"/>
    <xf numFmtId="43" fontId="4" fillId="0" borderId="29" xfId="1" applyNumberFormat="1" applyFont="1" applyBorder="1"/>
    <xf numFmtId="0" fontId="4" fillId="0" borderId="18" xfId="0" applyFont="1" applyBorder="1"/>
    <xf numFmtId="43" fontId="4" fillId="0" borderId="0" xfId="1" applyNumberFormat="1" applyFont="1" applyBorder="1"/>
    <xf numFmtId="0" fontId="4" fillId="0" borderId="0" xfId="0" applyFont="1" applyBorder="1" applyAlignment="1">
      <alignment horizontal="center"/>
    </xf>
    <xf numFmtId="43" fontId="4" fillId="0" borderId="0" xfId="0" applyNumberFormat="1" applyFont="1" applyBorder="1"/>
    <xf numFmtId="43" fontId="5" fillId="0" borderId="0" xfId="1" applyNumberFormat="1" applyFont="1" applyBorder="1"/>
    <xf numFmtId="9" fontId="4" fillId="0" borderId="0" xfId="0" applyNumberFormat="1" applyFont="1" applyBorder="1"/>
    <xf numFmtId="0" fontId="27" fillId="0" borderId="0" xfId="0" applyFont="1" applyBorder="1"/>
    <xf numFmtId="0" fontId="4" fillId="0" borderId="11" xfId="0" applyFont="1" applyBorder="1"/>
    <xf numFmtId="0" fontId="4" fillId="0" borderId="28" xfId="0" applyFont="1" applyBorder="1" applyAlignment="1">
      <alignment horizontal="right"/>
    </xf>
    <xf numFmtId="0" fontId="4" fillId="0" borderId="28" xfId="0" applyFont="1" applyBorder="1"/>
    <xf numFmtId="0" fontId="22" fillId="0" borderId="9" xfId="0" applyFont="1" applyBorder="1"/>
    <xf numFmtId="0" fontId="22" fillId="0" borderId="0" xfId="0" applyFont="1" applyBorder="1"/>
    <xf numFmtId="0" fontId="0" fillId="0" borderId="0" xfId="0" applyFill="1" applyBorder="1" applyAlignment="1">
      <alignment horizontal="left"/>
    </xf>
    <xf numFmtId="0" fontId="0" fillId="0" borderId="10" xfId="0" applyBorder="1"/>
    <xf numFmtId="0" fontId="0" fillId="0" borderId="11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0" fillId="0" borderId="23" xfId="0" applyBorder="1"/>
    <xf numFmtId="10" fontId="4" fillId="0" borderId="24" xfId="0" applyNumberFormat="1" applyFont="1" applyBorder="1"/>
    <xf numFmtId="43" fontId="27" fillId="0" borderId="12" xfId="1" applyNumberFormat="1" applyFont="1" applyBorder="1"/>
    <xf numFmtId="43" fontId="4" fillId="0" borderId="29" xfId="0" applyNumberFormat="1" applyFont="1" applyBorder="1"/>
    <xf numFmtId="43" fontId="28" fillId="0" borderId="0" xfId="0" applyNumberFormat="1" applyFont="1" applyBorder="1"/>
    <xf numFmtId="9" fontId="0" fillId="0" borderId="15" xfId="0" applyNumberFormat="1" applyBorder="1"/>
    <xf numFmtId="0" fontId="0" fillId="0" borderId="33" xfId="0" applyBorder="1"/>
    <xf numFmtId="0" fontId="18" fillId="0" borderId="33" xfId="0" applyFont="1" applyBorder="1"/>
    <xf numFmtId="43" fontId="28" fillId="0" borderId="33" xfId="0" applyNumberFormat="1" applyFont="1" applyBorder="1"/>
    <xf numFmtId="0" fontId="0" fillId="0" borderId="16" xfId="0" applyBorder="1"/>
    <xf numFmtId="2" fontId="0" fillId="0" borderId="0" xfId="0" applyNumberFormat="1" applyFont="1"/>
    <xf numFmtId="0" fontId="29" fillId="0" borderId="0" xfId="0" applyFont="1"/>
    <xf numFmtId="43" fontId="33" fillId="0" borderId="33" xfId="0" applyNumberFormat="1" applyFont="1" applyBorder="1"/>
    <xf numFmtId="43" fontId="26" fillId="0" borderId="0" xfId="0" applyNumberFormat="1" applyFont="1" applyBorder="1"/>
    <xf numFmtId="43" fontId="4" fillId="0" borderId="28" xfId="0" applyNumberFormat="1" applyFont="1" applyBorder="1"/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/>
    <xf numFmtId="0" fontId="32" fillId="0" borderId="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12" xfId="0" applyBorder="1"/>
    <xf numFmtId="0" fontId="4" fillId="0" borderId="27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7" xfId="0" applyFont="1" applyBorder="1" applyAlignment="1"/>
    <xf numFmtId="0" fontId="4" fillId="0" borderId="0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43" fontId="27" fillId="0" borderId="0" xfId="1" applyNumberFormat="1" applyFont="1" applyBorder="1"/>
    <xf numFmtId="9" fontId="0" fillId="0" borderId="13" xfId="0" applyNumberFormat="1" applyBorder="1"/>
    <xf numFmtId="0" fontId="18" fillId="0" borderId="26" xfId="0" applyFont="1" applyBorder="1"/>
    <xf numFmtId="43" fontId="28" fillId="0" borderId="26" xfId="0" applyNumberFormat="1" applyFont="1" applyBorder="1"/>
    <xf numFmtId="0" fontId="0" fillId="0" borderId="14" xfId="0" applyBorder="1"/>
    <xf numFmtId="43" fontId="2" fillId="0" borderId="0" xfId="0" applyNumberFormat="1" applyFont="1"/>
    <xf numFmtId="0" fontId="0" fillId="0" borderId="2" xfId="0" applyBorder="1" applyAlignment="1">
      <alignment horizontal="left"/>
    </xf>
    <xf numFmtId="0" fontId="6" fillId="0" borderId="3" xfId="0" applyFont="1" applyBorder="1"/>
    <xf numFmtId="0" fontId="6" fillId="0" borderId="2" xfId="0" applyFont="1" applyBorder="1"/>
    <xf numFmtId="9" fontId="0" fillId="0" borderId="0" xfId="0" applyNumberFormat="1" applyAlignment="1">
      <alignment horizontal="left"/>
    </xf>
    <xf numFmtId="9" fontId="0" fillId="0" borderId="0" xfId="0" applyNumberFormat="1" applyBorder="1"/>
    <xf numFmtId="0" fontId="36" fillId="0" borderId="0" xfId="0" applyFont="1" applyBorder="1"/>
    <xf numFmtId="0" fontId="9" fillId="0" borderId="1" xfId="0" applyFont="1" applyBorder="1" applyAlignment="1">
      <alignment horizontal="center"/>
    </xf>
    <xf numFmtId="0" fontId="18" fillId="0" borderId="27" xfId="0" applyFont="1" applyBorder="1" applyAlignment="1">
      <alignment horizontal="right"/>
    </xf>
    <xf numFmtId="1" fontId="6" fillId="0" borderId="0" xfId="0" applyNumberFormat="1" applyFont="1" applyBorder="1"/>
    <xf numFmtId="1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1" fontId="6" fillId="0" borderId="27" xfId="0" applyNumberFormat="1" applyFon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2" fontId="14" fillId="0" borderId="27" xfId="0" applyNumberFormat="1" applyFont="1" applyBorder="1" applyAlignment="1">
      <alignment horizontal="center"/>
    </xf>
    <xf numFmtId="0" fontId="0" fillId="0" borderId="0" xfId="0" applyBorder="1" applyAlignment="1">
      <alignment horizontal="right"/>
    </xf>
    <xf numFmtId="10" fontId="0" fillId="0" borderId="32" xfId="0" applyNumberFormat="1" applyBorder="1"/>
    <xf numFmtId="2" fontId="18" fillId="0" borderId="7" xfId="0" applyNumberFormat="1" applyFont="1" applyBorder="1" applyAlignment="1">
      <alignment horizontal="center"/>
    </xf>
    <xf numFmtId="10" fontId="0" fillId="0" borderId="5" xfId="0" applyNumberFormat="1" applyBorder="1"/>
    <xf numFmtId="0" fontId="7" fillId="0" borderId="0" xfId="0" applyFont="1" applyBorder="1"/>
    <xf numFmtId="0" fontId="7" fillId="0" borderId="0" xfId="0" applyFont="1"/>
    <xf numFmtId="43" fontId="37" fillId="0" borderId="0" xfId="0" applyNumberFormat="1" applyFont="1" applyBorder="1"/>
    <xf numFmtId="0" fontId="19" fillId="0" borderId="0" xfId="0" applyFont="1" applyBorder="1"/>
    <xf numFmtId="43" fontId="38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43" fontId="39" fillId="0" borderId="0" xfId="0" applyNumberFormat="1" applyFont="1" applyBorder="1"/>
    <xf numFmtId="0" fontId="18" fillId="0" borderId="0" xfId="0" applyFont="1" applyAlignment="1">
      <alignment horizontal="left"/>
    </xf>
    <xf numFmtId="14" fontId="0" fillId="0" borderId="26" xfId="0" applyNumberFormat="1" applyBorder="1" applyAlignment="1">
      <alignment horizontal="right"/>
    </xf>
    <xf numFmtId="10" fontId="8" fillId="0" borderId="8" xfId="2" applyNumberFormat="1" applyFont="1" applyBorder="1"/>
    <xf numFmtId="1" fontId="4" fillId="0" borderId="27" xfId="0" applyNumberFormat="1" applyFont="1" applyBorder="1"/>
    <xf numFmtId="0" fontId="4" fillId="0" borderId="27" xfId="0" applyFont="1" applyBorder="1" applyAlignment="1">
      <alignment horizontal="right"/>
    </xf>
    <xf numFmtId="1" fontId="16" fillId="0" borderId="28" xfId="0" applyNumberFormat="1" applyFont="1" applyBorder="1"/>
    <xf numFmtId="10" fontId="17" fillId="0" borderId="31" xfId="0" applyNumberFormat="1" applyFont="1" applyBorder="1"/>
    <xf numFmtId="10" fontId="6" fillId="0" borderId="4" xfId="0" applyNumberFormat="1" applyFont="1" applyBorder="1"/>
    <xf numFmtId="10" fontId="17" fillId="0" borderId="5" xfId="0" applyNumberFormat="1" applyFont="1" applyBorder="1"/>
    <xf numFmtId="9" fontId="0" fillId="0" borderId="6" xfId="0" applyNumberFormat="1" applyBorder="1"/>
    <xf numFmtId="9" fontId="0" fillId="0" borderId="8" xfId="0" applyNumberFormat="1" applyBorder="1"/>
    <xf numFmtId="10" fontId="17" fillId="0" borderId="32" xfId="0" applyNumberFormat="1" applyFont="1" applyBorder="1"/>
    <xf numFmtId="9" fontId="6" fillId="0" borderId="3" xfId="0" quotePrefix="1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" fontId="0" fillId="0" borderId="27" xfId="0" applyNumberFormat="1" applyFont="1" applyBorder="1"/>
    <xf numFmtId="43" fontId="33" fillId="0" borderId="2" xfId="0" applyNumberFormat="1" applyFont="1" applyBorder="1"/>
    <xf numFmtId="0" fontId="4" fillId="0" borderId="15" xfId="0" applyFont="1" applyBorder="1"/>
    <xf numFmtId="0" fontId="4" fillId="0" borderId="33" xfId="0" applyFont="1" applyBorder="1"/>
    <xf numFmtId="9" fontId="0" fillId="0" borderId="8" xfId="0" quotePrefix="1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10" fontId="0" fillId="0" borderId="34" xfId="0" applyNumberFormat="1" applyBorder="1" applyAlignment="1">
      <alignment horizontal="center"/>
    </xf>
    <xf numFmtId="10" fontId="4" fillId="0" borderId="19" xfId="2" applyNumberFormat="1" applyFont="1" applyBorder="1" applyAlignment="1">
      <alignment horizontal="center"/>
    </xf>
    <xf numFmtId="10" fontId="0" fillId="0" borderId="30" xfId="0" applyNumberFormat="1" applyBorder="1" applyAlignment="1">
      <alignment horizontal="center"/>
    </xf>
    <xf numFmtId="10" fontId="6" fillId="0" borderId="19" xfId="2" applyNumberFormat="1" applyFont="1" applyBorder="1" applyAlignment="1">
      <alignment horizontal="center"/>
    </xf>
    <xf numFmtId="10" fontId="6" fillId="0" borderId="31" xfId="0" applyNumberFormat="1" applyFont="1" applyBorder="1" applyAlignment="1">
      <alignment horizontal="center"/>
    </xf>
    <xf numFmtId="10" fontId="0" fillId="0" borderId="4" xfId="0" applyNumberFormat="1" applyFont="1" applyBorder="1" applyAlignment="1">
      <alignment horizontal="center"/>
    </xf>
    <xf numFmtId="10" fontId="0" fillId="0" borderId="5" xfId="0" applyNumberFormat="1" applyFon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1" xfId="2" applyNumberFormat="1" applyFont="1" applyBorder="1"/>
    <xf numFmtId="9" fontId="0" fillId="0" borderId="3" xfId="2" applyFont="1" applyBorder="1"/>
    <xf numFmtId="0" fontId="14" fillId="0" borderId="5" xfId="0" applyFont="1" applyBorder="1" applyAlignment="1">
      <alignment horizontal="right"/>
    </xf>
    <xf numFmtId="0" fontId="0" fillId="0" borderId="31" xfId="0" applyBorder="1" applyAlignment="1">
      <alignment horizontal="right"/>
    </xf>
    <xf numFmtId="0" fontId="4" fillId="0" borderId="31" xfId="0" applyFont="1" applyBorder="1" applyAlignment="1">
      <alignment horizontal="right"/>
    </xf>
    <xf numFmtId="0" fontId="16" fillId="0" borderId="3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2" fontId="0" fillId="0" borderId="8" xfId="0" applyNumberFormat="1" applyBorder="1" applyAlignment="1">
      <alignment horizontal="right"/>
    </xf>
    <xf numFmtId="1" fontId="6" fillId="0" borderId="2" xfId="0" applyNumberFormat="1" applyFont="1" applyBorder="1"/>
    <xf numFmtId="2" fontId="6" fillId="0" borderId="2" xfId="0" applyNumberFormat="1" applyFont="1" applyBorder="1" applyAlignment="1">
      <alignment horizontal="right"/>
    </xf>
    <xf numFmtId="0" fontId="18" fillId="0" borderId="4" xfId="0" applyFont="1" applyBorder="1"/>
    <xf numFmtId="0" fontId="18" fillId="0" borderId="25" xfId="0" applyFont="1" applyBorder="1"/>
    <xf numFmtId="0" fontId="18" fillId="0" borderId="30" xfId="0" applyFont="1" applyBorder="1" applyAlignment="1">
      <alignment horizontal="right"/>
    </xf>
    <xf numFmtId="14" fontId="0" fillId="0" borderId="26" xfId="0" applyNumberFormat="1" applyBorder="1" applyAlignment="1">
      <alignment horizontal="center"/>
    </xf>
    <xf numFmtId="10" fontId="0" fillId="0" borderId="3" xfId="2" applyNumberFormat="1" applyFont="1" applyBorder="1"/>
    <xf numFmtId="0" fontId="0" fillId="0" borderId="28" xfId="0" applyBorder="1" applyAlignment="1">
      <alignment horizontal="center"/>
    </xf>
    <xf numFmtId="10" fontId="4" fillId="0" borderId="28" xfId="2" quotePrefix="1" applyNumberFormat="1" applyFont="1" applyBorder="1"/>
    <xf numFmtId="0" fontId="18" fillId="0" borderId="28" xfId="0" applyFont="1" applyBorder="1"/>
    <xf numFmtId="2" fontId="0" fillId="0" borderId="0" xfId="0" applyNumberFormat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0" fontId="18" fillId="0" borderId="30" xfId="0" applyFont="1" applyBorder="1"/>
    <xf numFmtId="0" fontId="18" fillId="0" borderId="31" xfId="0" applyFont="1" applyBorder="1"/>
    <xf numFmtId="0" fontId="18" fillId="0" borderId="5" xfId="0" applyFont="1" applyBorder="1"/>
    <xf numFmtId="2" fontId="11" fillId="0" borderId="5" xfId="0" applyNumberFormat="1" applyFont="1" applyBorder="1"/>
    <xf numFmtId="43" fontId="40" fillId="0" borderId="3" xfId="0" applyNumberFormat="1" applyFont="1" applyBorder="1"/>
    <xf numFmtId="43" fontId="18" fillId="0" borderId="8" xfId="0" applyNumberFormat="1" applyFont="1" applyBorder="1"/>
    <xf numFmtId="10" fontId="18" fillId="0" borderId="1" xfId="0" applyNumberFormat="1" applyFont="1" applyBorder="1" applyAlignment="1">
      <alignment horizontal="left"/>
    </xf>
    <xf numFmtId="10" fontId="18" fillId="0" borderId="6" xfId="0" applyNumberFormat="1" applyFont="1" applyFill="1" applyBorder="1" applyAlignment="1">
      <alignment horizontal="left"/>
    </xf>
    <xf numFmtId="43" fontId="33" fillId="0" borderId="0" xfId="0" applyNumberFormat="1" applyFont="1" applyBorder="1"/>
    <xf numFmtId="9" fontId="0" fillId="0" borderId="28" xfId="2" applyFont="1" applyBorder="1"/>
    <xf numFmtId="10" fontId="4" fillId="0" borderId="0" xfId="0" applyNumberFormat="1" applyFont="1" applyBorder="1"/>
    <xf numFmtId="9" fontId="0" fillId="0" borderId="0" xfId="2" applyFont="1" applyBorder="1"/>
    <xf numFmtId="0" fontId="14" fillId="0" borderId="0" xfId="0" applyFont="1" applyBorder="1" applyAlignment="1">
      <alignment horizontal="right"/>
    </xf>
    <xf numFmtId="2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0" fontId="35" fillId="0" borderId="2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41" fillId="0" borderId="0" xfId="0" applyFont="1"/>
    <xf numFmtId="43" fontId="28" fillId="0" borderId="15" xfId="0" applyNumberFormat="1" applyFont="1" applyBorder="1"/>
    <xf numFmtId="0" fontId="28" fillId="0" borderId="16" xfId="0" applyFont="1" applyBorder="1"/>
    <xf numFmtId="43" fontId="28" fillId="0" borderId="27" xfId="0" applyNumberFormat="1" applyFont="1" applyBorder="1"/>
    <xf numFmtId="0" fontId="41" fillId="0" borderId="16" xfId="0" applyFont="1" applyBorder="1"/>
    <xf numFmtId="43" fontId="28" fillId="0" borderId="20" xfId="0" applyNumberFormat="1" applyFont="1" applyBorder="1"/>
    <xf numFmtId="0" fontId="41" fillId="0" borderId="34" xfId="0" applyFont="1" applyBorder="1"/>
    <xf numFmtId="43" fontId="28" fillId="0" borderId="6" xfId="0" applyNumberFormat="1" applyFont="1" applyBorder="1"/>
    <xf numFmtId="0" fontId="41" fillId="0" borderId="8" xfId="0" applyFont="1" applyBorder="1"/>
    <xf numFmtId="0" fontId="41" fillId="0" borderId="14" xfId="0" applyFont="1" applyBorder="1"/>
    <xf numFmtId="43" fontId="33" fillId="0" borderId="15" xfId="0" applyNumberFormat="1" applyFont="1" applyBorder="1"/>
    <xf numFmtId="0" fontId="28" fillId="0" borderId="0" xfId="0" applyFont="1" applyBorder="1"/>
    <xf numFmtId="0" fontId="4" fillId="0" borderId="22" xfId="0" applyFont="1" applyBorder="1"/>
    <xf numFmtId="9" fontId="0" fillId="0" borderId="27" xfId="0" applyNumberFormat="1" applyBorder="1"/>
    <xf numFmtId="0" fontId="18" fillId="0" borderId="27" xfId="0" applyFont="1" applyBorder="1"/>
    <xf numFmtId="43" fontId="18" fillId="0" borderId="27" xfId="0" applyNumberFormat="1" applyFont="1" applyBorder="1"/>
    <xf numFmtId="0" fontId="32" fillId="0" borderId="9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0" xfId="0" applyFont="1" applyBorder="1"/>
    <xf numFmtId="43" fontId="41" fillId="0" borderId="26" xfId="0" applyNumberFormat="1" applyFont="1" applyBorder="1"/>
    <xf numFmtId="43" fontId="41" fillId="0" borderId="0" xfId="0" applyNumberFormat="1" applyFont="1" applyBorder="1"/>
    <xf numFmtId="0" fontId="0" fillId="0" borderId="0" xfId="0" applyFill="1" applyBorder="1" applyAlignment="1">
      <alignment horizontal="right"/>
    </xf>
    <xf numFmtId="0" fontId="0" fillId="0" borderId="28" xfId="0" applyFill="1" applyBorder="1" applyAlignment="1">
      <alignment horizontal="left"/>
    </xf>
    <xf numFmtId="178" fontId="9" fillId="0" borderId="0" xfId="0" applyNumberFormat="1" applyFont="1" applyAlignment="1">
      <alignment horizontal="left"/>
    </xf>
    <xf numFmtId="1" fontId="6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6" fillId="0" borderId="2" xfId="0" applyFont="1" applyBorder="1" applyAlignment="1">
      <alignment horizontal="center"/>
    </xf>
    <xf numFmtId="10" fontId="43" fillId="0" borderId="0" xfId="2" applyNumberFormat="1" applyFont="1" applyBorder="1"/>
    <xf numFmtId="10" fontId="43" fillId="0" borderId="5" xfId="2" applyNumberFormat="1" applyFont="1" applyBorder="1"/>
    <xf numFmtId="0" fontId="22" fillId="0" borderId="0" xfId="0" applyFont="1" applyBorder="1" applyAlignment="1">
      <alignment horizontal="right"/>
    </xf>
    <xf numFmtId="180" fontId="0" fillId="0" borderId="0" xfId="0" applyNumberFormat="1" applyBorder="1"/>
    <xf numFmtId="9" fontId="14" fillId="0" borderId="5" xfId="0" quotePrefix="1" applyNumberFormat="1" applyFont="1" applyBorder="1" applyAlignment="1">
      <alignment horizontal="center"/>
    </xf>
    <xf numFmtId="166" fontId="0" fillId="0" borderId="0" xfId="1" applyNumberFormat="1" applyFont="1" applyAlignment="1">
      <alignment horizontal="left"/>
    </xf>
    <xf numFmtId="43" fontId="0" fillId="0" borderId="0" xfId="0" applyNumberFormat="1" applyBorder="1" applyAlignment="1">
      <alignment horizontal="left"/>
    </xf>
    <xf numFmtId="9" fontId="0" fillId="0" borderId="0" xfId="0" applyNumberFormat="1" applyAlignment="1">
      <alignment horizontal="center"/>
    </xf>
    <xf numFmtId="0" fontId="18" fillId="0" borderId="0" xfId="0" quotePrefix="1" applyFont="1" applyAlignment="1">
      <alignment horizontal="center"/>
    </xf>
    <xf numFmtId="0" fontId="4" fillId="0" borderId="0" xfId="0" applyFont="1" applyFill="1" applyBorder="1" applyAlignment="1">
      <alignment horizontal="right"/>
    </xf>
    <xf numFmtId="7" fontId="0" fillId="0" borderId="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0"/>
  <sheetViews>
    <sheetView rightToLeft="1" tabSelected="1" topLeftCell="B106" workbookViewId="0">
      <selection activeCell="L22" sqref="L22"/>
    </sheetView>
  </sheetViews>
  <sheetFormatPr defaultRowHeight="14.25" x14ac:dyDescent="0.2"/>
  <cols>
    <col min="2" max="3" width="9.875" customWidth="1"/>
    <col min="4" max="4" width="9.875" bestFit="1" customWidth="1"/>
    <col min="5" max="5" width="10.875" customWidth="1"/>
    <col min="6" max="6" width="10" customWidth="1"/>
    <col min="7" max="7" width="10.625" customWidth="1"/>
    <col min="8" max="8" width="11.25" customWidth="1"/>
    <col min="9" max="9" width="10.5" customWidth="1"/>
    <col min="10" max="10" width="8.875" customWidth="1"/>
    <col min="11" max="11" width="11" customWidth="1"/>
    <col min="12" max="12" width="8.25" customWidth="1"/>
    <col min="13" max="13" width="10" customWidth="1"/>
    <col min="14" max="14" width="9.75" customWidth="1"/>
    <col min="15" max="15" width="10.5" customWidth="1"/>
  </cols>
  <sheetData>
    <row r="1" spans="3:25" ht="18" x14ac:dyDescent="0.25">
      <c r="E1" s="34"/>
      <c r="G1" s="60"/>
      <c r="J1" s="230" t="s">
        <v>103</v>
      </c>
      <c r="M1" s="17"/>
      <c r="N1" s="17"/>
      <c r="O1" s="17"/>
      <c r="P1" s="17"/>
      <c r="Q1" s="17"/>
    </row>
    <row r="2" spans="3:25" ht="15" x14ac:dyDescent="0.25">
      <c r="J2" s="43"/>
      <c r="L2" t="s">
        <v>84</v>
      </c>
      <c r="Q2" s="19" t="s">
        <v>87</v>
      </c>
    </row>
    <row r="3" spans="3:25" ht="15.75" thickBot="1" x14ac:dyDescent="0.3">
      <c r="H3" t="s">
        <v>80</v>
      </c>
      <c r="J3" s="51"/>
      <c r="N3" t="s">
        <v>79</v>
      </c>
      <c r="Q3" t="s">
        <v>85</v>
      </c>
    </row>
    <row r="4" spans="3:25" ht="16.5" thickBot="1" x14ac:dyDescent="0.3">
      <c r="C4" s="28"/>
      <c r="D4" s="29"/>
      <c r="E4" s="32" t="s">
        <v>30</v>
      </c>
      <c r="F4" s="29"/>
      <c r="G4" s="30"/>
      <c r="H4" s="140" t="s">
        <v>20</v>
      </c>
      <c r="I4" s="70" t="s">
        <v>71</v>
      </c>
      <c r="K4" s="28"/>
      <c r="L4" s="29"/>
      <c r="M4" s="30"/>
      <c r="N4" s="140" t="s">
        <v>20</v>
      </c>
      <c r="O4" s="194" t="s">
        <v>71</v>
      </c>
      <c r="Q4" t="s">
        <v>86</v>
      </c>
    </row>
    <row r="5" spans="3:25" ht="15.75" thickBot="1" x14ac:dyDescent="0.3">
      <c r="C5" s="31"/>
      <c r="D5" s="51" t="s">
        <v>29</v>
      </c>
      <c r="E5" s="17" t="s">
        <v>82</v>
      </c>
      <c r="F5" s="51" t="s">
        <v>83</v>
      </c>
      <c r="G5" s="197" t="s">
        <v>81</v>
      </c>
      <c r="H5" s="178" t="s">
        <v>21</v>
      </c>
      <c r="I5" s="177">
        <v>0.7</v>
      </c>
      <c r="K5" s="31"/>
      <c r="L5" s="227" t="s">
        <v>29</v>
      </c>
      <c r="M5" s="197" t="s">
        <v>81</v>
      </c>
      <c r="N5" s="178" t="s">
        <v>21</v>
      </c>
      <c r="O5" s="183">
        <v>0.7</v>
      </c>
      <c r="Q5" s="210" t="s">
        <v>9</v>
      </c>
      <c r="R5" s="210" t="s">
        <v>10</v>
      </c>
      <c r="V5" s="18"/>
      <c r="W5" s="140" t="s">
        <v>20</v>
      </c>
      <c r="X5" s="177">
        <v>0.7</v>
      </c>
    </row>
    <row r="6" spans="3:25" ht="15.75" thickBot="1" x14ac:dyDescent="0.3">
      <c r="C6" s="206" t="s">
        <v>11</v>
      </c>
      <c r="D6" s="75">
        <f>G6*12</f>
        <v>267.99599999999998</v>
      </c>
      <c r="E6" s="166">
        <v>32964</v>
      </c>
      <c r="F6" s="166" t="s">
        <v>70</v>
      </c>
      <c r="G6" s="207">
        <v>22.332999999999998</v>
      </c>
      <c r="H6" s="172">
        <f>G6/G11</f>
        <v>0.52342559823751367</v>
      </c>
      <c r="I6" s="154">
        <f>H6*$I$5</f>
        <v>0.36639791876625954</v>
      </c>
      <c r="K6" s="66" t="s">
        <v>11</v>
      </c>
      <c r="L6" s="75">
        <f>M6*12</f>
        <v>267.99599999999998</v>
      </c>
      <c r="M6" s="215">
        <v>22.332999999999998</v>
      </c>
      <c r="N6" s="184">
        <f>M6/M11</f>
        <v>0.53173809523809523</v>
      </c>
      <c r="O6" s="185">
        <f>N6*$I$5</f>
        <v>0.37221666666666664</v>
      </c>
      <c r="Q6" s="6">
        <f>O6-I6</f>
        <v>5.8187479004070952E-3</v>
      </c>
      <c r="R6" s="4">
        <f>D27*Q6</f>
        <v>230.52133557042788</v>
      </c>
      <c r="U6" s="20"/>
      <c r="V6" s="13"/>
      <c r="W6" s="178" t="s">
        <v>21</v>
      </c>
      <c r="X6" s="70" t="s">
        <v>71</v>
      </c>
    </row>
    <row r="7" spans="3:25" ht="4.5" customHeight="1" x14ac:dyDescent="0.25">
      <c r="C7" s="67"/>
      <c r="D7" s="76"/>
      <c r="E7" s="80"/>
      <c r="F7" s="80"/>
      <c r="G7" s="198"/>
      <c r="H7" s="48"/>
      <c r="I7" s="71" t="s">
        <v>0</v>
      </c>
      <c r="K7" s="67"/>
      <c r="L7" s="76"/>
      <c r="M7" s="216"/>
      <c r="N7" s="186"/>
      <c r="O7" s="187" t="s">
        <v>0</v>
      </c>
      <c r="Q7" s="6" t="s">
        <v>0</v>
      </c>
      <c r="R7" s="4" t="s">
        <v>0</v>
      </c>
      <c r="U7" s="20"/>
      <c r="V7" s="13"/>
      <c r="W7" s="6">
        <f>H6</f>
        <v>0.52342559823751367</v>
      </c>
      <c r="X7" s="6">
        <f>I6</f>
        <v>0.36639791876625954</v>
      </c>
    </row>
    <row r="8" spans="3:25" ht="15" x14ac:dyDescent="0.25">
      <c r="C8" s="67" t="s">
        <v>12</v>
      </c>
      <c r="D8" s="168">
        <f>G8*12</f>
        <v>236.00400000000002</v>
      </c>
      <c r="E8" s="169" t="s">
        <v>4</v>
      </c>
      <c r="F8" s="169" t="s">
        <v>5</v>
      </c>
      <c r="G8" s="199">
        <v>19.667000000000002</v>
      </c>
      <c r="H8" s="48">
        <f>G8/G11</f>
        <v>0.46094171139287976</v>
      </c>
      <c r="I8" s="171">
        <f>H8*$I$5</f>
        <v>0.3226591979750158</v>
      </c>
      <c r="K8" s="67" t="s">
        <v>12</v>
      </c>
      <c r="L8" s="179">
        <f>M8*12</f>
        <v>236.00400000000002</v>
      </c>
      <c r="M8" s="216">
        <v>19.667000000000002</v>
      </c>
      <c r="N8" s="188">
        <f>M8/M11</f>
        <v>0.46826190476190482</v>
      </c>
      <c r="O8" s="189">
        <f>N8*$I$5</f>
        <v>0.32778333333333337</v>
      </c>
      <c r="Q8" s="6">
        <f>O8-I10</f>
        <v>-5.8187479004069842E-3</v>
      </c>
      <c r="R8" s="4">
        <f>D28*Q8</f>
        <v>-70.561303164792164</v>
      </c>
      <c r="U8" s="20"/>
      <c r="V8" s="13"/>
      <c r="W8" s="6">
        <f>H7</f>
        <v>0</v>
      </c>
      <c r="X8" s="6" t="str">
        <f>I7</f>
        <v xml:space="preserve"> </v>
      </c>
    </row>
    <row r="9" spans="3:25" ht="17.25" thickBot="1" x14ac:dyDescent="0.4">
      <c r="C9" s="66" t="s">
        <v>22</v>
      </c>
      <c r="D9" s="170">
        <f>G9*12</f>
        <v>8.0040000000000013</v>
      </c>
      <c r="E9" s="91" t="s">
        <v>13</v>
      </c>
      <c r="F9" s="91" t="s">
        <v>14</v>
      </c>
      <c r="G9" s="200">
        <v>0.66700000000000004</v>
      </c>
      <c r="H9" s="61">
        <f>G9/G11</f>
        <v>1.5632690369606489E-2</v>
      </c>
      <c r="I9" s="176">
        <f>H9*$I$5</f>
        <v>1.0942883258724542E-2</v>
      </c>
      <c r="K9" s="66" t="s">
        <v>22</v>
      </c>
      <c r="L9" s="170">
        <v>0</v>
      </c>
      <c r="M9" s="91" t="s">
        <v>13</v>
      </c>
      <c r="N9" s="91" t="s">
        <v>14</v>
      </c>
      <c r="O9" s="200" t="s">
        <v>0</v>
      </c>
      <c r="P9" s="61" t="s">
        <v>0</v>
      </c>
      <c r="Q9" s="173" t="s">
        <v>0</v>
      </c>
      <c r="R9" s="5" t="s">
        <v>0</v>
      </c>
      <c r="U9" s="20"/>
      <c r="V9" s="13"/>
      <c r="W9" s="6">
        <f>H8</f>
        <v>0.46094171139287976</v>
      </c>
      <c r="X9" s="6">
        <f>I8</f>
        <v>0.3226591979750158</v>
      </c>
    </row>
    <row r="10" spans="3:25" ht="18" customHeight="1" x14ac:dyDescent="0.35">
      <c r="C10" s="31" t="s">
        <v>72</v>
      </c>
      <c r="D10" s="33"/>
      <c r="E10" s="34"/>
      <c r="F10" s="34"/>
      <c r="G10" s="197">
        <f>SUM(G8:G9)</f>
        <v>20.334000000000003</v>
      </c>
      <c r="H10" s="172">
        <f>SUM(H8:H9)</f>
        <v>0.47657440176248622</v>
      </c>
      <c r="I10" s="72">
        <f>SUM(I8:I9)</f>
        <v>0.33360208123374036</v>
      </c>
      <c r="K10" s="31" t="s">
        <v>0</v>
      </c>
      <c r="L10" s="33"/>
      <c r="M10" s="217" t="s">
        <v>0</v>
      </c>
      <c r="N10" s="190" t="s">
        <v>0</v>
      </c>
      <c r="O10" s="191" t="s">
        <v>0</v>
      </c>
      <c r="P10" s="6" t="s">
        <v>0</v>
      </c>
      <c r="Q10" s="221" t="s">
        <v>94</v>
      </c>
      <c r="R10" s="219">
        <f>SUM(R6:R8)</f>
        <v>159.96003240563573</v>
      </c>
      <c r="S10" t="s">
        <v>78</v>
      </c>
      <c r="U10" s="20"/>
      <c r="V10" s="13"/>
      <c r="W10" s="6" t="s">
        <v>0</v>
      </c>
      <c r="X10" s="6" t="s">
        <v>0</v>
      </c>
    </row>
    <row r="11" spans="3:25" ht="16.5" thickBot="1" x14ac:dyDescent="0.3">
      <c r="C11" s="205" t="s">
        <v>73</v>
      </c>
      <c r="D11" s="77">
        <f>SUM(D6:D9)</f>
        <v>512.00400000000002</v>
      </c>
      <c r="E11" s="34"/>
      <c r="F11" s="34"/>
      <c r="G11" s="214">
        <f>SUM(G6:G9)</f>
        <v>42.667000000000002</v>
      </c>
      <c r="H11" s="174">
        <f>H6+H10</f>
        <v>0.99999999999999989</v>
      </c>
      <c r="I11" s="175">
        <f>I6+I10</f>
        <v>0.7</v>
      </c>
      <c r="K11" s="31" t="s">
        <v>74</v>
      </c>
      <c r="L11" s="77">
        <f>SUM(L6:L9)</f>
        <v>504</v>
      </c>
      <c r="M11" s="218">
        <f>SUM(M6:M9)</f>
        <v>42</v>
      </c>
      <c r="N11" s="192">
        <f>SUM(N6:N8)</f>
        <v>1</v>
      </c>
      <c r="O11" s="193">
        <f>SUM(O6:O8)</f>
        <v>0.7</v>
      </c>
      <c r="P11" s="6" t="s">
        <v>0</v>
      </c>
      <c r="Q11" s="222" t="s">
        <v>95</v>
      </c>
      <c r="R11" s="220">
        <f>R10*12</f>
        <v>1919.5203888676288</v>
      </c>
      <c r="S11" t="s">
        <v>88</v>
      </c>
      <c r="U11" s="20"/>
      <c r="V11" s="13"/>
      <c r="W11" s="6">
        <f>H10</f>
        <v>0.47657440176248622</v>
      </c>
      <c r="X11" s="6">
        <f>I10</f>
        <v>0.33360208123374036</v>
      </c>
    </row>
    <row r="12" spans="3:25" ht="15" thickBot="1" x14ac:dyDescent="0.25">
      <c r="C12" s="28" t="s">
        <v>93</v>
      </c>
      <c r="D12" s="136">
        <v>20</v>
      </c>
      <c r="E12" s="208" t="s">
        <v>44</v>
      </c>
      <c r="F12" s="134" t="s">
        <v>45</v>
      </c>
      <c r="G12" s="201">
        <v>1.667</v>
      </c>
      <c r="H12" s="195">
        <f>(G12)/G14</f>
        <v>3.7600938331754409E-2</v>
      </c>
      <c r="I12" s="196">
        <v>0</v>
      </c>
      <c r="K12" s="28" t="s">
        <v>93</v>
      </c>
      <c r="L12" s="136">
        <v>20</v>
      </c>
      <c r="M12" s="135">
        <v>1.667</v>
      </c>
      <c r="N12" s="195">
        <f>(M12)/M14</f>
        <v>3.8175281104724394E-2</v>
      </c>
      <c r="O12" s="30"/>
      <c r="P12" s="6" t="s">
        <v>0</v>
      </c>
      <c r="W12" s="6">
        <f>H11</f>
        <v>0.99999999999999989</v>
      </c>
      <c r="X12" s="6">
        <f>I11</f>
        <v>0.7</v>
      </c>
      <c r="Y12" s="34"/>
    </row>
    <row r="13" spans="3:25" x14ac:dyDescent="0.2">
      <c r="C13" s="28" t="s">
        <v>54</v>
      </c>
      <c r="D13" s="203">
        <f>D6+D12</f>
        <v>287.99599999999998</v>
      </c>
      <c r="E13" s="29"/>
      <c r="F13" s="134"/>
      <c r="G13" s="204">
        <f>G6+G12</f>
        <v>24</v>
      </c>
      <c r="H13" s="195">
        <f>G13/G14</f>
        <v>0.54134524292867769</v>
      </c>
      <c r="I13" s="209">
        <f>H13*I5</f>
        <v>0.37894167005007434</v>
      </c>
      <c r="K13" s="31" t="s">
        <v>54</v>
      </c>
      <c r="L13" s="142">
        <f>SUM(L6+L12)</f>
        <v>287.99599999999998</v>
      </c>
      <c r="M13" s="142">
        <f>SUM(M6+M12)</f>
        <v>24</v>
      </c>
      <c r="N13" s="195">
        <f>M13/M14</f>
        <v>0.54961412508301466</v>
      </c>
      <c r="O13" s="209">
        <f>N13*O5</f>
        <v>0.38472988755811022</v>
      </c>
      <c r="P13" s="6" t="s">
        <v>0</v>
      </c>
      <c r="W13" s="6"/>
      <c r="X13" s="6"/>
      <c r="Y13" s="34"/>
    </row>
    <row r="14" spans="3:25" ht="15" thickBot="1" x14ac:dyDescent="0.25">
      <c r="C14" s="36" t="s">
        <v>47</v>
      </c>
      <c r="D14" s="78">
        <f>D11+D12</f>
        <v>532.00400000000002</v>
      </c>
      <c r="E14" s="37" t="s">
        <v>46</v>
      </c>
      <c r="F14" s="38"/>
      <c r="G14" s="202">
        <f>G11+G12</f>
        <v>44.334000000000003</v>
      </c>
      <c r="H14" s="46"/>
      <c r="I14" s="167"/>
      <c r="K14" s="36" t="s">
        <v>47</v>
      </c>
      <c r="L14" s="78">
        <f>L11+L12</f>
        <v>524</v>
      </c>
      <c r="M14" s="39">
        <f>M11+M12</f>
        <v>43.667000000000002</v>
      </c>
      <c r="N14" s="46"/>
      <c r="O14" s="70"/>
      <c r="Y14" s="34"/>
    </row>
    <row r="15" spans="3:25" x14ac:dyDescent="0.2">
      <c r="C15" s="34"/>
      <c r="D15" s="77"/>
      <c r="E15" s="34"/>
      <c r="F15" s="35"/>
      <c r="G15" s="213"/>
      <c r="H15" s="42"/>
      <c r="I15" s="68"/>
      <c r="K15" s="34"/>
      <c r="L15" s="77"/>
      <c r="M15" s="45"/>
      <c r="N15" s="42"/>
      <c r="O15" s="34"/>
      <c r="Y15" s="34"/>
    </row>
    <row r="16" spans="3:25" x14ac:dyDescent="0.2">
      <c r="C16" s="34"/>
      <c r="D16" s="77"/>
      <c r="H16" s="93" t="s">
        <v>26</v>
      </c>
      <c r="I16" s="96"/>
      <c r="J16" s="100"/>
      <c r="K16" s="42"/>
      <c r="L16" s="93" t="s">
        <v>35</v>
      </c>
      <c r="M16" s="96"/>
      <c r="N16" s="42"/>
      <c r="O16" s="34"/>
      <c r="Y16" s="34"/>
    </row>
    <row r="17" spans="1:25" x14ac:dyDescent="0.2">
      <c r="C17" s="34"/>
      <c r="D17" s="77"/>
      <c r="H17" s="49" t="s">
        <v>28</v>
      </c>
      <c r="I17" s="82">
        <v>8106.7</v>
      </c>
      <c r="J17" s="52">
        <f>I17/$I$19</f>
        <v>0.66850867952458726</v>
      </c>
      <c r="K17" s="42"/>
      <c r="L17" s="231" t="s">
        <v>28</v>
      </c>
      <c r="M17" s="103">
        <f>D37*J17</f>
        <v>10645.412433791071</v>
      </c>
      <c r="N17" s="42"/>
      <c r="O17" s="34"/>
      <c r="Y17" s="34"/>
    </row>
    <row r="18" spans="1:25" ht="16.5" x14ac:dyDescent="0.35">
      <c r="C18" s="34"/>
      <c r="D18" s="77"/>
      <c r="H18" s="49" t="s">
        <v>27</v>
      </c>
      <c r="I18" s="64">
        <f>1341.02/E28</f>
        <v>4019.8441247002397</v>
      </c>
      <c r="J18" s="50">
        <f>I18/$I$19</f>
        <v>0.33149132047541263</v>
      </c>
      <c r="K18" s="42"/>
      <c r="L18" s="231" t="s">
        <v>27</v>
      </c>
      <c r="M18" s="64">
        <f>D37*J18</f>
        <v>5278.7075662089283</v>
      </c>
      <c r="N18" s="42"/>
      <c r="O18" s="34"/>
      <c r="Y18" s="34"/>
    </row>
    <row r="19" spans="1:25" s="59" customFormat="1" ht="15" x14ac:dyDescent="0.25">
      <c r="H19" s="97" t="s">
        <v>31</v>
      </c>
      <c r="I19" s="102">
        <f>SUM(I17:I18)</f>
        <v>12126.54412470024</v>
      </c>
      <c r="J19" s="101">
        <f>SUM(J17:J18)</f>
        <v>0.99999999999999989</v>
      </c>
      <c r="K19" s="211"/>
      <c r="L19" s="97" t="s">
        <v>36</v>
      </c>
      <c r="M19" s="102">
        <f>SUM(M17:M18)</f>
        <v>15924.119999999999</v>
      </c>
      <c r="O19" s="224"/>
      <c r="R19" s="212" t="e">
        <f>DATEDIF(E6,F6,"Y") &amp; " שנים " &amp; DATEDIF(E6,F6,"YM") &amp; " חודשים " &amp; DATEDIF(E6,F6,"MD") &amp; " ימים "</f>
        <v>#VALUE!</v>
      </c>
    </row>
    <row r="20" spans="1:25" s="34" customFormat="1" ht="7.5" customHeight="1" x14ac:dyDescent="0.25">
      <c r="F20" s="95"/>
      <c r="G20" s="128"/>
      <c r="H20" s="225"/>
      <c r="I20" s="53"/>
      <c r="J20" s="95"/>
      <c r="K20" s="128"/>
      <c r="O20" s="226"/>
      <c r="R20" s="62"/>
    </row>
    <row r="21" spans="1:25" ht="18" x14ac:dyDescent="0.25">
      <c r="C21" s="34"/>
      <c r="E21" s="34"/>
      <c r="F21" s="35"/>
      <c r="G21" s="45"/>
      <c r="H21" s="139" t="s">
        <v>52</v>
      </c>
      <c r="J21" s="69"/>
      <c r="K21" s="34"/>
      <c r="L21" s="34"/>
      <c r="R21" s="34"/>
    </row>
    <row r="22" spans="1:25" x14ac:dyDescent="0.2">
      <c r="C22" s="34"/>
      <c r="F22" s="35"/>
      <c r="G22" s="45"/>
      <c r="H22" s="34" t="s">
        <v>75</v>
      </c>
      <c r="J22" s="69"/>
      <c r="L22" s="269" t="s">
        <v>126</v>
      </c>
      <c r="N22" s="81"/>
      <c r="O22" s="81"/>
      <c r="P22" s="81"/>
      <c r="Q22" s="34"/>
      <c r="R22" s="34"/>
    </row>
    <row r="23" spans="1:25" x14ac:dyDescent="0.2">
      <c r="A23" s="26" t="s">
        <v>92</v>
      </c>
      <c r="C23" s="34"/>
      <c r="F23" s="35"/>
      <c r="G23" s="45"/>
      <c r="H23" s="53"/>
      <c r="I23" s="34"/>
      <c r="J23" s="34"/>
      <c r="L23" s="81" t="s">
        <v>127</v>
      </c>
      <c r="M23" s="81"/>
      <c r="N23" s="81"/>
      <c r="O23" s="34"/>
      <c r="P23" s="34"/>
    </row>
    <row r="24" spans="1:25" ht="15.75" x14ac:dyDescent="0.25">
      <c r="A24" s="165">
        <v>1</v>
      </c>
      <c r="B24" s="111" t="s">
        <v>97</v>
      </c>
      <c r="I24" s="34"/>
      <c r="J24" s="34"/>
      <c r="K24" t="s">
        <v>0</v>
      </c>
      <c r="L24" s="81" t="s">
        <v>128</v>
      </c>
      <c r="M24" s="81"/>
      <c r="N24" s="270">
        <f>O30</f>
        <v>-159.90281834132475</v>
      </c>
      <c r="O24" s="153" t="s">
        <v>129</v>
      </c>
      <c r="P24" s="34"/>
    </row>
    <row r="25" spans="1:25" ht="15" x14ac:dyDescent="0.25">
      <c r="D25" s="17" t="s">
        <v>6</v>
      </c>
      <c r="E25" s="16" t="s">
        <v>8</v>
      </c>
      <c r="F25" s="34"/>
      <c r="G25" s="34"/>
      <c r="J25" s="127"/>
      <c r="K25" s="120"/>
      <c r="L25" s="121" t="s">
        <v>6</v>
      </c>
      <c r="M25" s="122" t="s">
        <v>8</v>
      </c>
      <c r="N25" s="120"/>
      <c r="O25" s="120"/>
      <c r="P25" s="96"/>
    </row>
    <row r="26" spans="1:25" ht="15" x14ac:dyDescent="0.25">
      <c r="B26" s="11" t="s">
        <v>17</v>
      </c>
      <c r="C26" s="11" t="s">
        <v>38</v>
      </c>
      <c r="D26" s="11" t="s">
        <v>7</v>
      </c>
      <c r="E26" s="24" t="s">
        <v>32</v>
      </c>
      <c r="F26" s="11" t="s">
        <v>10</v>
      </c>
      <c r="H26" t="s">
        <v>33</v>
      </c>
      <c r="J26" s="125" t="s">
        <v>17</v>
      </c>
      <c r="K26" s="117" t="s">
        <v>38</v>
      </c>
      <c r="L26" s="117" t="s">
        <v>7</v>
      </c>
      <c r="M26" s="117" t="s">
        <v>32</v>
      </c>
      <c r="N26" s="117" t="s">
        <v>10</v>
      </c>
      <c r="O26" s="85"/>
      <c r="P26" s="118"/>
    </row>
    <row r="27" spans="1:25" x14ac:dyDescent="0.2">
      <c r="B27" s="22" t="s">
        <v>16</v>
      </c>
      <c r="C27" s="22" t="s">
        <v>18</v>
      </c>
      <c r="D27" s="1">
        <v>39617</v>
      </c>
      <c r="E27" s="23">
        <v>0.3664</v>
      </c>
      <c r="F27" s="1">
        <f>D27*E27</f>
        <v>14515.668799999999</v>
      </c>
      <c r="H27" s="2">
        <f>E27*100/2</f>
        <v>18.32</v>
      </c>
      <c r="J27" s="124" t="s">
        <v>16</v>
      </c>
      <c r="K27" s="85" t="s">
        <v>18</v>
      </c>
      <c r="L27" s="84">
        <v>39617</v>
      </c>
      <c r="M27" s="42">
        <f>O6</f>
        <v>0.37221666666666664</v>
      </c>
      <c r="N27" s="84">
        <f>L27*M27</f>
        <v>14746.107683333332</v>
      </c>
      <c r="O27" s="81"/>
      <c r="P27" s="82" t="s">
        <v>33</v>
      </c>
    </row>
    <row r="28" spans="1:25" ht="17.25" thickBot="1" x14ac:dyDescent="0.4">
      <c r="B28" t="s">
        <v>15</v>
      </c>
      <c r="C28" s="10" t="s">
        <v>19</v>
      </c>
      <c r="D28" s="25">
        <f>SUM($I$17:$I$18)</f>
        <v>12126.54412470024</v>
      </c>
      <c r="E28" s="20">
        <v>0.33360000000000001</v>
      </c>
      <c r="F28" s="5">
        <f>D28*E28</f>
        <v>4045.4151200000001</v>
      </c>
      <c r="H28" s="27">
        <f>E28*100/2</f>
        <v>16.68</v>
      </c>
      <c r="I28" s="9"/>
      <c r="J28" s="83" t="s">
        <v>15</v>
      </c>
      <c r="K28" s="85" t="s">
        <v>19</v>
      </c>
      <c r="L28" s="86">
        <f>I19</f>
        <v>12126.54412470024</v>
      </c>
      <c r="M28" s="44">
        <f>O8</f>
        <v>0.32778333333333337</v>
      </c>
      <c r="N28" s="87">
        <f>L28*M28</f>
        <v>3974.8790550079943</v>
      </c>
      <c r="O28" s="81"/>
      <c r="P28" s="82">
        <f>M27*100/2</f>
        <v>18.610833333333332</v>
      </c>
    </row>
    <row r="29" spans="1:25" ht="17.25" thickBot="1" x14ac:dyDescent="0.4">
      <c r="E29" s="7">
        <v>0.7</v>
      </c>
      <c r="F29" s="40" t="s">
        <v>24</v>
      </c>
      <c r="G29" s="41">
        <f>SUM(F27:F28)</f>
        <v>18561.083920000001</v>
      </c>
      <c r="H29" s="12">
        <f>SUM(H27:H28)</f>
        <v>35</v>
      </c>
      <c r="I29" s="15"/>
      <c r="J29" s="83"/>
      <c r="K29" s="81"/>
      <c r="L29" s="81"/>
      <c r="M29" s="88">
        <v>0.7</v>
      </c>
      <c r="N29" s="81" t="s">
        <v>24</v>
      </c>
      <c r="O29" s="113">
        <f>SUM(N27:N28)</f>
        <v>18720.986738341326</v>
      </c>
      <c r="P29" s="64">
        <f>M28*100/2</f>
        <v>16.389166666666668</v>
      </c>
    </row>
    <row r="30" spans="1:25" ht="15.75" thickBot="1" x14ac:dyDescent="0.3">
      <c r="E30" s="7"/>
      <c r="F30" s="62"/>
      <c r="G30" s="63"/>
      <c r="H30" s="12"/>
      <c r="I30" s="15"/>
      <c r="J30" s="83"/>
      <c r="K30" s="81"/>
      <c r="L30" s="81"/>
      <c r="M30" s="34"/>
      <c r="N30" s="89" t="s">
        <v>99</v>
      </c>
      <c r="O30" s="223">
        <f>G29-O29</f>
        <v>-159.90281834132475</v>
      </c>
      <c r="P30" s="82">
        <f>SUM(P28:P29)</f>
        <v>35</v>
      </c>
    </row>
    <row r="31" spans="1:25" ht="15.75" thickBot="1" x14ac:dyDescent="0.3">
      <c r="E31" s="7"/>
      <c r="F31" s="62"/>
      <c r="G31" s="63"/>
      <c r="H31" s="12"/>
      <c r="I31" s="15"/>
      <c r="J31" s="58"/>
      <c r="K31" s="92"/>
      <c r="L31" s="181" t="s">
        <v>111</v>
      </c>
      <c r="M31" s="106"/>
      <c r="N31" s="244"/>
      <c r="O31" s="112">
        <f>O30*12</f>
        <v>-1918.833820095897</v>
      </c>
      <c r="P31" s="234" t="s">
        <v>88</v>
      </c>
    </row>
    <row r="32" spans="1:25" ht="15" x14ac:dyDescent="0.25">
      <c r="E32" s="7"/>
      <c r="F32" s="62"/>
      <c r="G32" s="63"/>
      <c r="H32" s="12"/>
      <c r="I32" s="15"/>
      <c r="K32" s="81"/>
      <c r="L32" s="81"/>
      <c r="M32" s="81"/>
      <c r="N32" s="81"/>
      <c r="O32" s="86"/>
      <c r="P32" s="34"/>
      <c r="Q32" s="34"/>
    </row>
    <row r="33" spans="1:17" ht="15.75" x14ac:dyDescent="0.25">
      <c r="B33" s="111" t="s">
        <v>96</v>
      </c>
      <c r="K33" s="34"/>
      <c r="L33" s="34"/>
      <c r="M33" s="34"/>
      <c r="N33" s="34"/>
      <c r="O33" s="34"/>
      <c r="P33" s="34"/>
    </row>
    <row r="34" spans="1:17" ht="15" x14ac:dyDescent="0.25">
      <c r="D34" s="17" t="s">
        <v>6</v>
      </c>
      <c r="E34" s="16" t="s">
        <v>8</v>
      </c>
      <c r="F34" s="34"/>
      <c r="J34" s="127"/>
      <c r="K34" s="120"/>
      <c r="L34" s="121" t="s">
        <v>6</v>
      </c>
      <c r="M34" s="122" t="s">
        <v>8</v>
      </c>
      <c r="N34" s="120"/>
      <c r="O34" s="120"/>
      <c r="P34" s="96"/>
    </row>
    <row r="35" spans="1:17" ht="15" x14ac:dyDescent="0.25">
      <c r="B35" s="11" t="s">
        <v>17</v>
      </c>
      <c r="C35" s="11" t="s">
        <v>38</v>
      </c>
      <c r="D35" s="11" t="s">
        <v>7</v>
      </c>
      <c r="E35" s="24" t="s">
        <v>9</v>
      </c>
      <c r="F35" s="11" t="s">
        <v>10</v>
      </c>
      <c r="G35" s="34"/>
      <c r="H35" t="s">
        <v>33</v>
      </c>
      <c r="J35" s="125" t="s">
        <v>17</v>
      </c>
      <c r="K35" s="117" t="s">
        <v>38</v>
      </c>
      <c r="L35" s="117" t="s">
        <v>7</v>
      </c>
      <c r="M35" s="117" t="s">
        <v>32</v>
      </c>
      <c r="N35" s="117" t="s">
        <v>10</v>
      </c>
      <c r="O35" s="85"/>
      <c r="P35" s="118"/>
    </row>
    <row r="36" spans="1:17" x14ac:dyDescent="0.2">
      <c r="B36" s="22" t="s">
        <v>16</v>
      </c>
      <c r="C36" s="22" t="s">
        <v>18</v>
      </c>
      <c r="D36" s="1">
        <v>39617</v>
      </c>
      <c r="E36" s="23">
        <v>0.3664</v>
      </c>
      <c r="F36" s="1">
        <f>D36*E36</f>
        <v>14515.668799999999</v>
      </c>
      <c r="H36" s="110">
        <f>E36*100/2</f>
        <v>18.32</v>
      </c>
      <c r="J36" s="124" t="s">
        <v>16</v>
      </c>
      <c r="K36" s="85" t="s">
        <v>18</v>
      </c>
      <c r="L36" s="84">
        <v>39617</v>
      </c>
      <c r="M36" s="42">
        <f>O6</f>
        <v>0.37221666666666664</v>
      </c>
      <c r="N36" s="84">
        <f>L36*M36</f>
        <v>14746.107683333332</v>
      </c>
      <c r="O36" s="81"/>
      <c r="P36" s="82" t="s">
        <v>33</v>
      </c>
    </row>
    <row r="37" spans="1:17" ht="17.25" thickBot="1" x14ac:dyDescent="0.4">
      <c r="B37" t="s">
        <v>15</v>
      </c>
      <c r="C37" t="s">
        <v>34</v>
      </c>
      <c r="D37" s="25">
        <v>15924.12</v>
      </c>
      <c r="E37" s="20">
        <v>0.33360000000000001</v>
      </c>
      <c r="F37" s="1">
        <f>D37*E37</f>
        <v>5312.2864320000008</v>
      </c>
      <c r="H37" s="110">
        <f>E37*100/2</f>
        <v>16.68</v>
      </c>
      <c r="J37" s="83" t="s">
        <v>15</v>
      </c>
      <c r="K37" s="85" t="s">
        <v>19</v>
      </c>
      <c r="L37" s="86">
        <f>M19</f>
        <v>15924.119999999999</v>
      </c>
      <c r="M37" s="44">
        <f>O8</f>
        <v>0.32778333333333337</v>
      </c>
      <c r="N37" s="87">
        <f>L37*M37</f>
        <v>5219.6611339999999</v>
      </c>
      <c r="O37" s="81"/>
      <c r="P37" s="82">
        <f>M36*100/2</f>
        <v>18.610833333333332</v>
      </c>
    </row>
    <row r="38" spans="1:17" ht="17.25" thickBot="1" x14ac:dyDescent="0.4">
      <c r="E38" s="7">
        <v>0.7</v>
      </c>
      <c r="F38" s="40" t="s">
        <v>24</v>
      </c>
      <c r="G38" s="41">
        <f>SUM(F36:F37)</f>
        <v>19827.955232</v>
      </c>
      <c r="H38" s="12">
        <f>SUM(H36:H37)</f>
        <v>35</v>
      </c>
      <c r="J38" s="83"/>
      <c r="K38" s="81"/>
      <c r="L38" s="81"/>
      <c r="M38" s="88">
        <v>0.7</v>
      </c>
      <c r="N38" s="81" t="s">
        <v>24</v>
      </c>
      <c r="O38" s="113">
        <f>SUM(N36:N37)</f>
        <v>19965.76881733333</v>
      </c>
      <c r="P38" s="64">
        <f>M37*100/2</f>
        <v>16.389166666666668</v>
      </c>
    </row>
    <row r="39" spans="1:17" ht="15.75" thickBot="1" x14ac:dyDescent="0.3">
      <c r="D39" s="105" t="s">
        <v>98</v>
      </c>
      <c r="E39" s="106"/>
      <c r="F39" s="107"/>
      <c r="G39" s="108">
        <f>G29-G38</f>
        <v>-1266.8713119999993</v>
      </c>
      <c r="H39" s="109" t="s">
        <v>37</v>
      </c>
      <c r="J39" s="83"/>
      <c r="K39" s="81"/>
      <c r="L39" s="81"/>
      <c r="M39" s="89" t="s">
        <v>90</v>
      </c>
      <c r="N39" s="34"/>
      <c r="O39" s="223">
        <f>G38-O38</f>
        <v>-137.81358533332968</v>
      </c>
      <c r="P39" s="82">
        <f>SUM(P37:P38)</f>
        <v>35</v>
      </c>
    </row>
    <row r="40" spans="1:17" ht="15.75" thickBot="1" x14ac:dyDescent="0.3">
      <c r="G40" s="233">
        <f>G39*12</f>
        <v>-15202.455743999992</v>
      </c>
      <c r="H40" s="234" t="s">
        <v>88</v>
      </c>
      <c r="J40" s="126"/>
      <c r="K40" s="92"/>
      <c r="L40" s="181" t="s">
        <v>110</v>
      </c>
      <c r="M40" s="182"/>
      <c r="N40" s="182"/>
      <c r="O40" s="112">
        <f>O39*12</f>
        <v>-1653.7630239999562</v>
      </c>
      <c r="P40" s="234" t="s">
        <v>88</v>
      </c>
    </row>
    <row r="41" spans="1:17" ht="15" x14ac:dyDescent="0.25">
      <c r="A41" s="34"/>
      <c r="B41" s="34"/>
      <c r="C41" s="34"/>
      <c r="D41" s="34"/>
      <c r="E41" s="34"/>
      <c r="F41" s="34"/>
      <c r="G41" s="104"/>
      <c r="H41" s="243"/>
      <c r="I41" s="34"/>
      <c r="J41" s="99" t="s">
        <v>89</v>
      </c>
      <c r="K41" s="81"/>
      <c r="L41" s="81"/>
      <c r="M41" s="81"/>
      <c r="N41" s="81"/>
      <c r="O41" s="223"/>
      <c r="P41" s="243"/>
    </row>
    <row r="42" spans="1:17" ht="15" x14ac:dyDescent="0.25">
      <c r="A42" s="34"/>
      <c r="B42" s="34"/>
      <c r="C42" s="34"/>
      <c r="D42" s="34"/>
      <c r="E42" s="34"/>
      <c r="F42" s="34"/>
      <c r="G42" s="104"/>
      <c r="H42" s="243"/>
      <c r="I42" s="34"/>
      <c r="J42" s="99"/>
      <c r="K42" s="81" t="s">
        <v>109</v>
      </c>
      <c r="L42" s="81"/>
      <c r="M42" s="81"/>
      <c r="N42" s="81"/>
      <c r="O42" s="223"/>
      <c r="P42" s="243"/>
      <c r="Q42" s="34"/>
    </row>
    <row r="43" spans="1:17" s="57" customFormat="1" ht="15" x14ac:dyDescent="0.25">
      <c r="E43" s="245"/>
      <c r="F43" s="246"/>
      <c r="G43" s="247"/>
    </row>
    <row r="44" spans="1:17" ht="18.75" x14ac:dyDescent="0.3">
      <c r="A44" s="165">
        <v>2</v>
      </c>
      <c r="B44" s="111" t="s">
        <v>41</v>
      </c>
    </row>
    <row r="45" spans="1:17" ht="15.75" x14ac:dyDescent="0.25">
      <c r="B45" s="111"/>
      <c r="C45" s="137">
        <v>0.02</v>
      </c>
      <c r="D45" t="s">
        <v>104</v>
      </c>
    </row>
    <row r="46" spans="1:17" ht="15" x14ac:dyDescent="0.25">
      <c r="D46" s="17" t="s">
        <v>6</v>
      </c>
      <c r="E46" s="16" t="s">
        <v>8</v>
      </c>
      <c r="F46" s="34"/>
      <c r="J46" s="127"/>
      <c r="K46" s="120"/>
      <c r="L46" s="121" t="s">
        <v>6</v>
      </c>
      <c r="M46" s="122" t="s">
        <v>8</v>
      </c>
      <c r="N46" s="120"/>
      <c r="O46" s="120"/>
      <c r="P46" s="96"/>
    </row>
    <row r="47" spans="1:17" ht="15" x14ac:dyDescent="0.25">
      <c r="B47" s="11" t="s">
        <v>17</v>
      </c>
      <c r="C47" s="11" t="s">
        <v>38</v>
      </c>
      <c r="D47" s="11" t="s">
        <v>7</v>
      </c>
      <c r="E47" s="24" t="s">
        <v>9</v>
      </c>
      <c r="F47" s="11" t="s">
        <v>10</v>
      </c>
      <c r="G47" s="34"/>
      <c r="H47" t="s">
        <v>33</v>
      </c>
      <c r="J47" s="125" t="s">
        <v>17</v>
      </c>
      <c r="K47" s="117" t="s">
        <v>38</v>
      </c>
      <c r="L47" s="117" t="s">
        <v>7</v>
      </c>
      <c r="M47" s="117" t="s">
        <v>32</v>
      </c>
      <c r="N47" s="117" t="s">
        <v>10</v>
      </c>
      <c r="O47" s="85"/>
      <c r="P47" s="118"/>
    </row>
    <row r="48" spans="1:17" x14ac:dyDescent="0.2">
      <c r="B48" s="22" t="s">
        <v>16</v>
      </c>
      <c r="C48" s="22" t="s">
        <v>18</v>
      </c>
      <c r="D48" s="1">
        <v>39617</v>
      </c>
      <c r="E48" s="23">
        <f>$G$6*2%</f>
        <v>0.44666</v>
      </c>
      <c r="F48" s="1">
        <f>D48*E48</f>
        <v>17695.32922</v>
      </c>
      <c r="H48" s="110">
        <f>E48*100/2</f>
        <v>22.332999999999998</v>
      </c>
      <c r="J48" s="124" t="s">
        <v>16</v>
      </c>
      <c r="K48" s="85" t="s">
        <v>18</v>
      </c>
      <c r="L48" s="84">
        <v>39617</v>
      </c>
      <c r="M48" s="42">
        <f>M6*2%</f>
        <v>0.44666</v>
      </c>
      <c r="N48" s="84">
        <f>L48*M48</f>
        <v>17695.32922</v>
      </c>
      <c r="O48" s="81"/>
      <c r="P48" s="82" t="s">
        <v>33</v>
      </c>
    </row>
    <row r="49" spans="1:16" ht="17.25" thickBot="1" x14ac:dyDescent="0.4">
      <c r="B49" t="s">
        <v>15</v>
      </c>
      <c r="C49" t="s">
        <v>19</v>
      </c>
      <c r="D49" s="25">
        <f>D28</f>
        <v>12126.54412470024</v>
      </c>
      <c r="E49" s="20">
        <f>70%-E48</f>
        <v>0.25333999999999995</v>
      </c>
      <c r="F49" s="1">
        <f>D49*E49</f>
        <v>3072.1386885515581</v>
      </c>
      <c r="H49" s="27">
        <f>E49*100/2</f>
        <v>12.666999999999998</v>
      </c>
      <c r="J49" s="83" t="s">
        <v>15</v>
      </c>
      <c r="K49" s="85" t="s">
        <v>19</v>
      </c>
      <c r="L49" s="86">
        <f>D49</f>
        <v>12126.54412470024</v>
      </c>
      <c r="M49" s="42">
        <f>70%-M48</f>
        <v>0.25333999999999995</v>
      </c>
      <c r="N49" s="87">
        <f>L49*M49</f>
        <v>3072.1386885515581</v>
      </c>
      <c r="O49" s="81"/>
      <c r="P49" s="82">
        <f>M48*100/2</f>
        <v>22.332999999999998</v>
      </c>
    </row>
    <row r="50" spans="1:16" ht="17.25" thickBot="1" x14ac:dyDescent="0.4">
      <c r="A50" s="94"/>
      <c r="B50" s="34"/>
      <c r="E50" s="7">
        <f>SUM(E48:E49)</f>
        <v>0.7</v>
      </c>
      <c r="F50" s="40" t="s">
        <v>24</v>
      </c>
      <c r="G50" s="41">
        <f>SUM(F48:F49)</f>
        <v>20767.467908551556</v>
      </c>
      <c r="H50" s="12">
        <f>SUM(H48:H49)</f>
        <v>35</v>
      </c>
      <c r="J50" s="83"/>
      <c r="K50" s="81"/>
      <c r="L50" s="81"/>
      <c r="M50" s="88">
        <v>0.7</v>
      </c>
      <c r="N50" s="81" t="s">
        <v>24</v>
      </c>
      <c r="O50" s="113">
        <f>SUM(N48:N49)</f>
        <v>20767.467908551556</v>
      </c>
      <c r="P50" s="64">
        <f>M49*100/2</f>
        <v>12.666999999999998</v>
      </c>
    </row>
    <row r="51" spans="1:16" ht="15.75" thickBot="1" x14ac:dyDescent="0.3">
      <c r="A51" s="34"/>
      <c r="B51" s="86"/>
      <c r="E51" s="7"/>
      <c r="F51" s="62"/>
      <c r="G51" s="63"/>
      <c r="J51" s="83"/>
      <c r="K51" s="81"/>
      <c r="L51" s="81"/>
      <c r="M51" s="81"/>
      <c r="N51" s="89" t="s">
        <v>77</v>
      </c>
      <c r="O51" s="112">
        <f>O50-G50</f>
        <v>0</v>
      </c>
      <c r="P51" s="82">
        <f>SUM(P49:P50)</f>
        <v>35</v>
      </c>
    </row>
    <row r="52" spans="1:16" ht="15.75" thickBot="1" x14ac:dyDescent="0.3">
      <c r="A52" s="34"/>
      <c r="B52" s="129" t="s">
        <v>42</v>
      </c>
      <c r="C52" s="56"/>
      <c r="D52" s="56"/>
      <c r="E52" s="56"/>
      <c r="F52" s="130"/>
      <c r="G52" s="235">
        <f>$G$29-G50</f>
        <v>-2206.3839885515554</v>
      </c>
      <c r="H52" s="96" t="s">
        <v>37</v>
      </c>
      <c r="J52" s="90" t="s">
        <v>106</v>
      </c>
      <c r="K52" s="59"/>
      <c r="L52" s="92"/>
      <c r="M52" s="92"/>
      <c r="N52" s="92"/>
      <c r="O52" s="114"/>
      <c r="P52" s="119"/>
    </row>
    <row r="53" spans="1:16" ht="15.75" thickBot="1" x14ac:dyDescent="0.3">
      <c r="A53" s="95"/>
      <c r="B53" s="128"/>
      <c r="E53" s="7"/>
      <c r="F53" s="62"/>
      <c r="G53" s="233">
        <f>G52*12</f>
        <v>-26476.607862618665</v>
      </c>
      <c r="H53" s="236" t="s">
        <v>88</v>
      </c>
    </row>
    <row r="55" spans="1:16" ht="18.75" x14ac:dyDescent="0.3">
      <c r="B55" s="111" t="s">
        <v>40</v>
      </c>
    </row>
    <row r="56" spans="1:16" ht="15.75" x14ac:dyDescent="0.25">
      <c r="B56" s="111"/>
      <c r="C56" s="137">
        <v>0.02</v>
      </c>
      <c r="D56" t="s">
        <v>105</v>
      </c>
    </row>
    <row r="57" spans="1:16" ht="15" x14ac:dyDescent="0.25">
      <c r="D57" s="17" t="s">
        <v>6</v>
      </c>
      <c r="E57" s="16" t="s">
        <v>8</v>
      </c>
      <c r="F57" s="34"/>
    </row>
    <row r="58" spans="1:16" ht="15" x14ac:dyDescent="0.25">
      <c r="B58" s="11" t="s">
        <v>17</v>
      </c>
      <c r="C58" s="11" t="s">
        <v>38</v>
      </c>
      <c r="D58" s="11" t="s">
        <v>7</v>
      </c>
      <c r="E58" s="24" t="s">
        <v>9</v>
      </c>
      <c r="F58" s="11" t="s">
        <v>10</v>
      </c>
      <c r="G58" s="34"/>
      <c r="H58" t="s">
        <v>33</v>
      </c>
      <c r="M58" t="s">
        <v>76</v>
      </c>
    </row>
    <row r="59" spans="1:16" x14ac:dyDescent="0.2">
      <c r="B59" s="22" t="s">
        <v>16</v>
      </c>
      <c r="C59" s="22" t="s">
        <v>18</v>
      </c>
      <c r="D59" s="1">
        <v>39617</v>
      </c>
      <c r="E59" s="23">
        <f>E48</f>
        <v>0.44666</v>
      </c>
      <c r="F59" s="1">
        <f>D59*E59</f>
        <v>17695.32922</v>
      </c>
      <c r="H59" s="110">
        <f>E59*100/2</f>
        <v>22.332999999999998</v>
      </c>
      <c r="K59" s="81" t="s">
        <v>91</v>
      </c>
    </row>
    <row r="60" spans="1:16" ht="15" thickBot="1" x14ac:dyDescent="0.25">
      <c r="B60" t="s">
        <v>15</v>
      </c>
      <c r="C60" t="s">
        <v>34</v>
      </c>
      <c r="D60" s="25">
        <f>D37</f>
        <v>15924.12</v>
      </c>
      <c r="E60" s="20">
        <f>70%-E59</f>
        <v>0.25333999999999995</v>
      </c>
      <c r="F60" s="1">
        <f>D60*E60</f>
        <v>4034.2165607999996</v>
      </c>
      <c r="H60" s="27">
        <f>E60*100/2</f>
        <v>12.666999999999998</v>
      </c>
      <c r="K60" s="34"/>
    </row>
    <row r="61" spans="1:16" ht="15.75" thickBot="1" x14ac:dyDescent="0.3">
      <c r="A61" s="94"/>
      <c r="B61" s="34"/>
      <c r="E61" s="7">
        <f>SUM(E59:E60)</f>
        <v>0.7</v>
      </c>
      <c r="F61" s="40" t="s">
        <v>24</v>
      </c>
      <c r="G61" s="41">
        <f>SUM(F59:F60)</f>
        <v>21729.545780799999</v>
      </c>
      <c r="H61" s="12">
        <f>SUM(H59:H60)</f>
        <v>35</v>
      </c>
    </row>
    <row r="62" spans="1:16" ht="15.75" thickBot="1" x14ac:dyDescent="0.3">
      <c r="A62" s="34"/>
      <c r="B62" s="86"/>
      <c r="E62" s="7"/>
      <c r="F62" s="62"/>
      <c r="G62" s="63"/>
      <c r="J62" s="81" t="s">
        <v>0</v>
      </c>
      <c r="K62" s="81"/>
      <c r="L62" s="81"/>
      <c r="M62" s="81"/>
      <c r="N62" s="223"/>
      <c r="O62" s="243"/>
    </row>
    <row r="63" spans="1:16" ht="15" x14ac:dyDescent="0.25">
      <c r="A63" s="34"/>
      <c r="B63" s="129" t="s">
        <v>43</v>
      </c>
      <c r="C63" s="56"/>
      <c r="D63" s="56"/>
      <c r="E63" s="56"/>
      <c r="F63" s="130"/>
      <c r="G63" s="237">
        <f>G29-G61</f>
        <v>-3168.4618607999982</v>
      </c>
      <c r="H63" s="238" t="s">
        <v>37</v>
      </c>
    </row>
    <row r="64" spans="1:16" ht="15.75" thickBot="1" x14ac:dyDescent="0.3">
      <c r="A64" s="34"/>
      <c r="B64" s="138"/>
      <c r="C64" s="34"/>
      <c r="D64" s="34"/>
      <c r="E64" s="34"/>
      <c r="F64" s="62"/>
      <c r="G64" s="239">
        <f>G63*12</f>
        <v>-38021.542329599979</v>
      </c>
      <c r="H64" s="240" t="s">
        <v>88</v>
      </c>
    </row>
    <row r="65" spans="1:16" ht="15" x14ac:dyDescent="0.25">
      <c r="A65" s="34"/>
      <c r="B65" s="138"/>
      <c r="C65" s="34"/>
      <c r="D65" s="34"/>
      <c r="E65" s="34"/>
      <c r="F65" s="62"/>
      <c r="G65" s="63"/>
    </row>
    <row r="66" spans="1:16" ht="15" x14ac:dyDescent="0.25">
      <c r="A66" s="34"/>
      <c r="B66" s="138"/>
      <c r="C66" s="34"/>
      <c r="D66" s="34"/>
      <c r="E66" s="34"/>
      <c r="F66" s="62"/>
      <c r="G66" s="63"/>
    </row>
    <row r="67" spans="1:16" ht="15" x14ac:dyDescent="0.25">
      <c r="A67" s="34"/>
      <c r="B67" s="138"/>
      <c r="C67" s="34"/>
      <c r="D67" s="34"/>
      <c r="E67" s="34"/>
      <c r="F67" s="62"/>
      <c r="G67" s="63"/>
    </row>
    <row r="68" spans="1:16" ht="15" x14ac:dyDescent="0.25">
      <c r="A68" s="34"/>
      <c r="B68" s="138"/>
      <c r="C68" s="34"/>
      <c r="D68" s="34"/>
      <c r="E68" s="34"/>
      <c r="F68" s="62"/>
      <c r="G68" s="104"/>
      <c r="H68" s="34"/>
    </row>
    <row r="69" spans="1:16" ht="18" x14ac:dyDescent="0.25">
      <c r="A69" s="34"/>
      <c r="B69" s="138"/>
      <c r="C69" s="34"/>
      <c r="E69" s="34"/>
      <c r="F69" s="62"/>
      <c r="G69" s="104"/>
      <c r="H69" s="139" t="s">
        <v>51</v>
      </c>
    </row>
    <row r="70" spans="1:16" x14ac:dyDescent="0.2">
      <c r="H70" s="228">
        <f>G11</f>
        <v>42.667000000000002</v>
      </c>
      <c r="I70" s="229" t="s">
        <v>101</v>
      </c>
    </row>
    <row r="71" spans="1:16" ht="18.75" x14ac:dyDescent="0.3">
      <c r="B71" s="111" t="s">
        <v>100</v>
      </c>
    </row>
    <row r="72" spans="1:16" ht="15" x14ac:dyDescent="0.25">
      <c r="D72" s="17" t="s">
        <v>6</v>
      </c>
      <c r="E72" s="16" t="s">
        <v>8</v>
      </c>
      <c r="F72" s="34"/>
      <c r="J72" s="127"/>
      <c r="K72" s="120"/>
      <c r="L72" s="121" t="s">
        <v>6</v>
      </c>
      <c r="M72" s="122" t="s">
        <v>8</v>
      </c>
      <c r="N72" s="120"/>
      <c r="O72" s="120"/>
      <c r="P72" s="96"/>
    </row>
    <row r="73" spans="1:16" ht="15" x14ac:dyDescent="0.25">
      <c r="B73" s="11" t="s">
        <v>17</v>
      </c>
      <c r="C73" s="11" t="s">
        <v>38</v>
      </c>
      <c r="D73" s="11" t="s">
        <v>7</v>
      </c>
      <c r="E73" s="24" t="s">
        <v>9</v>
      </c>
      <c r="F73" s="11" t="s">
        <v>10</v>
      </c>
      <c r="G73" s="34"/>
      <c r="H73" t="s">
        <v>33</v>
      </c>
      <c r="J73" s="125" t="s">
        <v>17</v>
      </c>
      <c r="K73" s="117" t="s">
        <v>38</v>
      </c>
      <c r="L73" s="117" t="s">
        <v>7</v>
      </c>
      <c r="M73" s="117" t="s">
        <v>32</v>
      </c>
      <c r="N73" s="117" t="s">
        <v>10</v>
      </c>
      <c r="O73" s="85"/>
      <c r="P73" s="118"/>
    </row>
    <row r="74" spans="1:16" x14ac:dyDescent="0.2">
      <c r="B74" s="22" t="s">
        <v>16</v>
      </c>
      <c r="C74" s="22" t="s">
        <v>18</v>
      </c>
      <c r="D74" s="1">
        <v>39617</v>
      </c>
      <c r="E74" s="23">
        <f>G6*2%</f>
        <v>0.44666</v>
      </c>
      <c r="F74" s="1">
        <f>D74*E74</f>
        <v>17695.32922</v>
      </c>
      <c r="H74" s="110">
        <f>E74*100/2</f>
        <v>22.332999999999998</v>
      </c>
      <c r="J74" s="124" t="s">
        <v>16</v>
      </c>
      <c r="K74" s="85" t="s">
        <v>18</v>
      </c>
      <c r="L74" s="84">
        <v>39617</v>
      </c>
      <c r="M74" s="42">
        <f>M6*2%</f>
        <v>0.44666</v>
      </c>
      <c r="N74" s="84">
        <f>L74*M74</f>
        <v>17695.32922</v>
      </c>
      <c r="O74" s="81"/>
      <c r="P74" s="82" t="s">
        <v>33</v>
      </c>
    </row>
    <row r="75" spans="1:16" ht="17.25" thickBot="1" x14ac:dyDescent="0.4">
      <c r="B75" t="s">
        <v>15</v>
      </c>
      <c r="C75" t="s">
        <v>19</v>
      </c>
      <c r="D75" s="25">
        <f>D49</f>
        <v>12126.54412470024</v>
      </c>
      <c r="E75" s="20">
        <f>($G$11-$G$6)*2%</f>
        <v>0.4066800000000001</v>
      </c>
      <c r="F75" s="1">
        <f>D75*E75</f>
        <v>4931.6229646330949</v>
      </c>
      <c r="H75" s="27">
        <f>E75*100/2</f>
        <v>20.334000000000003</v>
      </c>
      <c r="J75" s="83" t="s">
        <v>15</v>
      </c>
      <c r="K75" s="85" t="s">
        <v>19</v>
      </c>
      <c r="L75" s="86">
        <f>D75</f>
        <v>12126.54412470024</v>
      </c>
      <c r="M75" s="44">
        <f>M8*2%</f>
        <v>0.39334000000000002</v>
      </c>
      <c r="N75" s="87">
        <f>L75*M75</f>
        <v>4769.854866009593</v>
      </c>
      <c r="O75" s="81"/>
      <c r="P75" s="82">
        <f>M74*100/2</f>
        <v>22.332999999999998</v>
      </c>
    </row>
    <row r="76" spans="1:16" ht="17.25" thickBot="1" x14ac:dyDescent="0.4">
      <c r="A76" s="94"/>
      <c r="B76" s="34"/>
      <c r="E76" s="6">
        <f>SUM(E74:E75)</f>
        <v>0.8533400000000001</v>
      </c>
      <c r="F76" s="40" t="s">
        <v>24</v>
      </c>
      <c r="G76" s="41">
        <f>SUM(F74:F75)</f>
        <v>22626.952184633094</v>
      </c>
      <c r="H76" s="12">
        <f>SUM(H74:H75)</f>
        <v>42.667000000000002</v>
      </c>
      <c r="J76" s="83"/>
      <c r="K76" s="81"/>
      <c r="L76" s="81"/>
      <c r="M76" s="88">
        <f>M74+M75</f>
        <v>0.84000000000000008</v>
      </c>
      <c r="N76" s="81" t="s">
        <v>24</v>
      </c>
      <c r="O76" s="113">
        <f>SUM(N74:N75)</f>
        <v>22465.184086009591</v>
      </c>
      <c r="P76" s="64">
        <f>M75*100/2</f>
        <v>19.667000000000002</v>
      </c>
    </row>
    <row r="77" spans="1:16" ht="15.75" thickBot="1" x14ac:dyDescent="0.3">
      <c r="A77" s="34"/>
      <c r="B77" s="86"/>
      <c r="E77" s="7"/>
      <c r="F77" s="62"/>
      <c r="G77" s="63"/>
      <c r="J77" s="83"/>
      <c r="K77" s="34"/>
      <c r="L77" s="34"/>
      <c r="M77" s="81"/>
      <c r="N77" s="89" t="s">
        <v>108</v>
      </c>
      <c r="O77" s="180">
        <f>G76-O76</f>
        <v>161.76809862350274</v>
      </c>
      <c r="P77" s="82">
        <f>SUM(P75:P76)</f>
        <v>42</v>
      </c>
    </row>
    <row r="78" spans="1:16" ht="15.75" thickBot="1" x14ac:dyDescent="0.3">
      <c r="A78" s="34"/>
      <c r="B78" s="129" t="s">
        <v>50</v>
      </c>
      <c r="C78" s="56"/>
      <c r="D78" s="56"/>
      <c r="E78" s="56"/>
      <c r="F78" s="130"/>
      <c r="G78" s="237">
        <f>G29-G76</f>
        <v>-4065.8682646330926</v>
      </c>
      <c r="H78" s="238" t="s">
        <v>37</v>
      </c>
      <c r="J78" s="126"/>
      <c r="K78" s="92"/>
      <c r="L78" s="181" t="s">
        <v>107</v>
      </c>
      <c r="M78" s="182"/>
      <c r="N78" s="182"/>
      <c r="O78" s="112">
        <f>O77*12</f>
        <v>1941.2171834820329</v>
      </c>
      <c r="P78" s="234" t="s">
        <v>88</v>
      </c>
    </row>
    <row r="79" spans="1:16" ht="15.75" thickBot="1" x14ac:dyDescent="0.3">
      <c r="G79" s="239">
        <f>G78*12</f>
        <v>-48790.419175597111</v>
      </c>
      <c r="H79" s="240" t="s">
        <v>88</v>
      </c>
    </row>
    <row r="81" spans="1:16" ht="18.75" x14ac:dyDescent="0.3">
      <c r="B81" s="111" t="s">
        <v>102</v>
      </c>
    </row>
    <row r="82" spans="1:16" ht="15" x14ac:dyDescent="0.25">
      <c r="D82" s="17" t="s">
        <v>6</v>
      </c>
      <c r="E82" s="16" t="s">
        <v>8</v>
      </c>
      <c r="F82" s="34"/>
      <c r="J82" s="248" t="s">
        <v>17</v>
      </c>
      <c r="K82" s="249" t="s">
        <v>38</v>
      </c>
      <c r="L82" s="249" t="s">
        <v>7</v>
      </c>
      <c r="M82" s="249" t="s">
        <v>32</v>
      </c>
      <c r="N82" s="249" t="s">
        <v>10</v>
      </c>
      <c r="O82" s="120"/>
      <c r="P82" s="250"/>
    </row>
    <row r="83" spans="1:16" ht="15" x14ac:dyDescent="0.25">
      <c r="B83" s="11" t="s">
        <v>17</v>
      </c>
      <c r="C83" s="11" t="s">
        <v>38</v>
      </c>
      <c r="D83" s="11" t="s">
        <v>7</v>
      </c>
      <c r="E83" s="24" t="s">
        <v>9</v>
      </c>
      <c r="F83" s="11" t="s">
        <v>10</v>
      </c>
      <c r="G83" s="34"/>
      <c r="H83" t="s">
        <v>33</v>
      </c>
      <c r="J83" s="124" t="s">
        <v>16</v>
      </c>
      <c r="K83" s="85" t="s">
        <v>18</v>
      </c>
      <c r="L83" s="84">
        <v>39617</v>
      </c>
      <c r="M83" s="42">
        <f>M74</f>
        <v>0.44666</v>
      </c>
      <c r="N83" s="84">
        <f>L83*M83</f>
        <v>17695.32922</v>
      </c>
      <c r="O83" s="81"/>
      <c r="P83" s="82" t="s">
        <v>33</v>
      </c>
    </row>
    <row r="84" spans="1:16" ht="16.5" x14ac:dyDescent="0.35">
      <c r="B84" s="22" t="s">
        <v>16</v>
      </c>
      <c r="C84" s="22" t="s">
        <v>18</v>
      </c>
      <c r="D84" s="1">
        <v>39617</v>
      </c>
      <c r="E84" s="23">
        <f>E74</f>
        <v>0.44666</v>
      </c>
      <c r="F84" s="1">
        <f>D84*E84</f>
        <v>17695.32922</v>
      </c>
      <c r="H84" s="110">
        <f>E84*100/2</f>
        <v>22.332999999999998</v>
      </c>
      <c r="J84" s="83" t="s">
        <v>15</v>
      </c>
      <c r="K84" s="85" t="s">
        <v>19</v>
      </c>
      <c r="L84" s="86">
        <f>D85</f>
        <v>15924.12</v>
      </c>
      <c r="M84" s="44">
        <f>M75</f>
        <v>0.39334000000000002</v>
      </c>
      <c r="N84" s="87">
        <f>L84*M84</f>
        <v>6263.5933608000005</v>
      </c>
      <c r="O84" s="81"/>
      <c r="P84" s="82">
        <f>M83*100/2</f>
        <v>22.332999999999998</v>
      </c>
    </row>
    <row r="85" spans="1:16" ht="17.25" thickBot="1" x14ac:dyDescent="0.4">
      <c r="B85" t="s">
        <v>15</v>
      </c>
      <c r="C85" t="s">
        <v>34</v>
      </c>
      <c r="D85" s="25">
        <f>D60</f>
        <v>15924.12</v>
      </c>
      <c r="E85" s="20">
        <f>($G$11-$G$6)*2%</f>
        <v>0.4066800000000001</v>
      </c>
      <c r="F85" s="1">
        <f>D85*E85</f>
        <v>6476.0211216000016</v>
      </c>
      <c r="H85" s="27">
        <f>E85*100/2</f>
        <v>20.334000000000003</v>
      </c>
      <c r="J85" s="83"/>
      <c r="K85" s="81"/>
      <c r="L85" s="81"/>
      <c r="M85" s="88">
        <f>M83+M84</f>
        <v>0.84000000000000008</v>
      </c>
      <c r="N85" s="81" t="s">
        <v>24</v>
      </c>
      <c r="O85" s="113">
        <f>SUM(N83:N84)</f>
        <v>23958.922580800001</v>
      </c>
      <c r="P85" s="64">
        <f>M84*100/2</f>
        <v>19.667000000000002</v>
      </c>
    </row>
    <row r="86" spans="1:16" ht="15.75" thickBot="1" x14ac:dyDescent="0.3">
      <c r="A86" s="94"/>
      <c r="B86" s="34"/>
      <c r="E86" s="6">
        <f>SUM(E84:E85)</f>
        <v>0.8533400000000001</v>
      </c>
      <c r="F86" s="40" t="s">
        <v>24</v>
      </c>
      <c r="G86" s="41">
        <f>SUM(F84:F85)</f>
        <v>24171.350341600002</v>
      </c>
      <c r="H86" s="12">
        <f>SUM(H84:H85)</f>
        <v>42.667000000000002</v>
      </c>
      <c r="J86" s="83"/>
      <c r="K86" s="81"/>
      <c r="L86" s="81"/>
      <c r="M86" s="81"/>
      <c r="N86" s="89" t="s">
        <v>108</v>
      </c>
      <c r="O86" s="180">
        <f>G86-O85</f>
        <v>212.42776080000112</v>
      </c>
      <c r="P86" s="82">
        <f>SUM(P84:P85)</f>
        <v>42</v>
      </c>
    </row>
    <row r="87" spans="1:16" ht="15.75" thickBot="1" x14ac:dyDescent="0.3">
      <c r="A87" s="34"/>
      <c r="J87" s="126"/>
      <c r="K87" s="59"/>
      <c r="L87" s="251" t="s">
        <v>107</v>
      </c>
      <c r="M87" s="181"/>
      <c r="N87" s="182"/>
      <c r="O87" s="242">
        <f>O86*12</f>
        <v>2549.1331296000135</v>
      </c>
      <c r="P87" s="234" t="s">
        <v>88</v>
      </c>
    </row>
    <row r="88" spans="1:16" ht="15" x14ac:dyDescent="0.25">
      <c r="A88" s="34"/>
      <c r="B88" s="129" t="s">
        <v>43</v>
      </c>
      <c r="C88" s="56"/>
      <c r="D88" s="56"/>
      <c r="E88" s="56"/>
      <c r="F88" s="130"/>
      <c r="G88" s="252">
        <f>G29-G86</f>
        <v>-5610.2664216000012</v>
      </c>
      <c r="H88" s="241" t="s">
        <v>37</v>
      </c>
    </row>
    <row r="89" spans="1:16" x14ac:dyDescent="0.2">
      <c r="G89" s="253">
        <f>G88*12</f>
        <v>-67323.197059200014</v>
      </c>
      <c r="H89" s="232" t="s">
        <v>88</v>
      </c>
    </row>
    <row r="90" spans="1:16" x14ac:dyDescent="0.2">
      <c r="N90" s="223"/>
    </row>
  </sheetData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7"/>
  <sheetViews>
    <sheetView rightToLeft="1" topLeftCell="C4" workbookViewId="0">
      <selection activeCell="N19" sqref="N19"/>
    </sheetView>
  </sheetViews>
  <sheetFormatPr defaultRowHeight="14.25" x14ac:dyDescent="0.2"/>
  <cols>
    <col min="2" max="3" width="9.875" customWidth="1"/>
    <col min="4" max="5" width="9.875" bestFit="1" customWidth="1"/>
    <col min="6" max="6" width="10.375" customWidth="1"/>
    <col min="7" max="7" width="9.875" customWidth="1"/>
    <col min="8" max="8" width="11.25" customWidth="1"/>
    <col min="9" max="9" width="11.5" customWidth="1"/>
    <col min="10" max="10" width="9.875" customWidth="1"/>
    <col min="11" max="11" width="11" customWidth="1"/>
    <col min="12" max="12" width="7.125" customWidth="1"/>
    <col min="13" max="13" width="10" customWidth="1"/>
    <col min="14" max="14" width="9.75" customWidth="1"/>
    <col min="15" max="15" width="10.5" customWidth="1"/>
  </cols>
  <sheetData>
    <row r="1" spans="2:18" ht="18.75" thickBot="1" x14ac:dyDescent="0.3">
      <c r="G1" s="230" t="s">
        <v>25</v>
      </c>
      <c r="H1" s="34"/>
    </row>
    <row r="2" spans="2:18" ht="15" x14ac:dyDescent="0.25">
      <c r="C2" s="28"/>
      <c r="D2" s="29"/>
      <c r="E2" s="29"/>
      <c r="F2" s="29"/>
      <c r="G2" s="29"/>
      <c r="H2" s="149" t="s">
        <v>20</v>
      </c>
      <c r="I2" s="268" t="s">
        <v>125</v>
      </c>
      <c r="J2" s="30" t="s">
        <v>122</v>
      </c>
      <c r="K2" s="34"/>
      <c r="L2" s="34"/>
      <c r="M2" s="55" t="s">
        <v>48</v>
      </c>
      <c r="N2" s="34"/>
    </row>
    <row r="3" spans="2:18" ht="15.75" x14ac:dyDescent="0.25">
      <c r="C3" s="31"/>
      <c r="D3" s="51" t="s">
        <v>29</v>
      </c>
      <c r="E3" s="32" t="s">
        <v>55</v>
      </c>
      <c r="F3" s="33"/>
      <c r="G3" s="51" t="s">
        <v>3</v>
      </c>
      <c r="H3" s="65" t="s">
        <v>56</v>
      </c>
      <c r="I3" s="267">
        <v>0.7</v>
      </c>
      <c r="J3" s="264">
        <v>0.7</v>
      </c>
      <c r="K3" s="34"/>
      <c r="L3" s="34"/>
      <c r="M3" s="43" t="s">
        <v>49</v>
      </c>
      <c r="N3" s="16"/>
      <c r="O3" s="18"/>
      <c r="P3" s="19"/>
    </row>
    <row r="4" spans="2:18" x14ac:dyDescent="0.2">
      <c r="C4" s="31" t="s">
        <v>11</v>
      </c>
      <c r="D4" s="143">
        <f>G4*12</f>
        <v>267.99599999999998</v>
      </c>
      <c r="E4" s="79" t="s">
        <v>1</v>
      </c>
      <c r="F4" s="79" t="s">
        <v>2</v>
      </c>
      <c r="G4" s="150">
        <v>22.332999999999998</v>
      </c>
      <c r="H4" s="54" t="s">
        <v>0</v>
      </c>
      <c r="J4" s="156" t="s">
        <v>0</v>
      </c>
      <c r="K4" s="34"/>
      <c r="L4" s="34"/>
      <c r="M4" s="42" t="s">
        <v>0</v>
      </c>
      <c r="N4" s="20"/>
      <c r="O4" s="13"/>
    </row>
    <row r="5" spans="2:18" x14ac:dyDescent="0.2">
      <c r="C5" s="31" t="s">
        <v>93</v>
      </c>
      <c r="D5" s="144">
        <v>20</v>
      </c>
      <c r="E5" s="79" t="s">
        <v>44</v>
      </c>
      <c r="F5" s="79" t="s">
        <v>45</v>
      </c>
      <c r="G5" s="144">
        <v>1.667</v>
      </c>
      <c r="H5" s="54"/>
      <c r="J5" s="156"/>
      <c r="K5" s="34"/>
      <c r="L5" s="34"/>
      <c r="M5" s="42"/>
      <c r="N5" s="20"/>
      <c r="O5" s="13"/>
    </row>
    <row r="6" spans="2:18" ht="15" x14ac:dyDescent="0.25">
      <c r="C6" s="148" t="s">
        <v>57</v>
      </c>
      <c r="D6" s="147">
        <f>SUM(D4:D5)</f>
        <v>287.99599999999998</v>
      </c>
      <c r="E6" s="34"/>
      <c r="F6" s="141" t="s">
        <v>54</v>
      </c>
      <c r="G6" s="151">
        <f>SUM(G4:G5)</f>
        <v>24</v>
      </c>
      <c r="H6" s="54">
        <f>G6/G10</f>
        <v>0.53333333333333333</v>
      </c>
      <c r="I6" s="73">
        <f>$J$3*H6</f>
        <v>0.37333333333333329</v>
      </c>
      <c r="J6" s="74">
        <f>J3*M6</f>
        <v>0.3789502176708095</v>
      </c>
      <c r="K6" s="34"/>
      <c r="L6" s="34"/>
      <c r="M6" s="42">
        <f>G6/G8</f>
        <v>0.5413574538154422</v>
      </c>
      <c r="N6" s="20"/>
      <c r="O6" s="13"/>
    </row>
    <row r="7" spans="2:18" ht="15" x14ac:dyDescent="0.25">
      <c r="C7" s="67" t="s">
        <v>12</v>
      </c>
      <c r="D7" s="145">
        <f>G7*12</f>
        <v>243.99599999999998</v>
      </c>
      <c r="E7" s="80" t="s">
        <v>4</v>
      </c>
      <c r="F7" s="80" t="s">
        <v>5</v>
      </c>
      <c r="G7" s="152">
        <v>20.332999999999998</v>
      </c>
      <c r="H7" s="54">
        <f>G7/G10</f>
        <v>0.45184444444444438</v>
      </c>
      <c r="I7" s="73">
        <f>$J$3*H7</f>
        <v>0.31629111111111102</v>
      </c>
      <c r="J7" s="74">
        <f>J3*M7</f>
        <v>0.3210497823291904</v>
      </c>
      <c r="K7" s="34"/>
      <c r="L7" s="34"/>
      <c r="M7" s="69">
        <f>G7/G8</f>
        <v>0.45864254618455774</v>
      </c>
      <c r="N7" s="20"/>
      <c r="O7" s="13"/>
    </row>
    <row r="8" spans="2:18" ht="15.75" thickBot="1" x14ac:dyDescent="0.3">
      <c r="C8" s="36" t="s">
        <v>117</v>
      </c>
      <c r="D8" s="146">
        <f>SUM(D6:D7)</f>
        <v>531.99199999999996</v>
      </c>
      <c r="E8" s="37"/>
      <c r="F8" s="38" t="s">
        <v>53</v>
      </c>
      <c r="G8" s="155">
        <f>SUM(G6:G7)</f>
        <v>44.332999999999998</v>
      </c>
      <c r="H8" s="54" t="s">
        <v>0</v>
      </c>
      <c r="J8" s="261">
        <f>SUM(J6:J7)</f>
        <v>0.7</v>
      </c>
      <c r="K8" s="263" t="s">
        <v>0</v>
      </c>
      <c r="L8" s="34"/>
      <c r="M8" s="260">
        <f>SUM(I4:I9)</f>
        <v>0.7</v>
      </c>
      <c r="N8" s="20"/>
      <c r="O8" s="13"/>
    </row>
    <row r="9" spans="2:18" ht="14.25" customHeight="1" x14ac:dyDescent="0.25">
      <c r="C9" s="28" t="s">
        <v>22</v>
      </c>
      <c r="D9" s="257">
        <f>G9*12</f>
        <v>8.0040000000000013</v>
      </c>
      <c r="E9" s="258" t="s">
        <v>13</v>
      </c>
      <c r="F9" s="258" t="s">
        <v>14</v>
      </c>
      <c r="G9" s="259">
        <v>0.66700000000000004</v>
      </c>
      <c r="H9" s="47">
        <f>G9/G10</f>
        <v>1.4822222222222223E-2</v>
      </c>
      <c r="I9" s="74">
        <f>$J$3*H9</f>
        <v>1.0375555555555555E-2</v>
      </c>
      <c r="J9" s="72"/>
      <c r="K9" s="34"/>
      <c r="L9" s="34"/>
      <c r="M9" s="11"/>
      <c r="N9" s="20"/>
      <c r="O9" s="13"/>
    </row>
    <row r="10" spans="2:18" ht="15.75" thickBot="1" x14ac:dyDescent="0.3">
      <c r="C10" s="36" t="s">
        <v>112</v>
      </c>
      <c r="D10" s="146">
        <f>SUM(D8:D9)</f>
        <v>539.99599999999998</v>
      </c>
      <c r="E10" s="37"/>
      <c r="F10" s="37" t="s">
        <v>0</v>
      </c>
      <c r="G10" s="155">
        <f>SUM(G8:G9)</f>
        <v>45</v>
      </c>
      <c r="H10" s="46">
        <f>SUM(H5:H9)</f>
        <v>0.99999999999999989</v>
      </c>
      <c r="I10" s="6">
        <f>SUM(I6:I9)</f>
        <v>0.7</v>
      </c>
      <c r="K10" s="34"/>
      <c r="L10" s="34"/>
      <c r="M10" s="11"/>
      <c r="N10" s="20"/>
      <c r="O10" s="13"/>
    </row>
    <row r="11" spans="2:18" ht="15" x14ac:dyDescent="0.25">
      <c r="C11" s="34"/>
      <c r="J11" s="34"/>
      <c r="K11" s="34"/>
      <c r="L11" s="34"/>
      <c r="M11" s="11"/>
      <c r="N11" s="20"/>
      <c r="O11" s="13"/>
    </row>
    <row r="12" spans="2:18" ht="15" x14ac:dyDescent="0.25">
      <c r="B12" s="262" t="s">
        <v>118</v>
      </c>
      <c r="C12" s="34"/>
      <c r="D12" s="93" t="s">
        <v>26</v>
      </c>
      <c r="E12" s="96" t="s">
        <v>0</v>
      </c>
      <c r="F12" s="100"/>
      <c r="G12" s="150"/>
      <c r="H12" s="93" t="s">
        <v>35</v>
      </c>
      <c r="I12" s="96"/>
      <c r="J12" s="34"/>
      <c r="K12" s="34"/>
      <c r="L12" s="34"/>
      <c r="M12" s="11"/>
      <c r="N12" s="20"/>
      <c r="O12" s="13"/>
    </row>
    <row r="13" spans="2:18" ht="15" x14ac:dyDescent="0.25">
      <c r="C13" s="34"/>
      <c r="D13" s="49" t="s">
        <v>28</v>
      </c>
      <c r="E13" s="82">
        <v>8106.7</v>
      </c>
      <c r="F13" s="52">
        <f>E13/$E$15</f>
        <v>0.66850867952458726</v>
      </c>
      <c r="G13" s="150"/>
      <c r="H13" s="49" t="s">
        <v>28</v>
      </c>
      <c r="I13" s="103">
        <f>D34*F13</f>
        <v>10645.412433791071</v>
      </c>
      <c r="J13" s="34"/>
      <c r="K13" s="34"/>
      <c r="L13" s="34"/>
      <c r="M13" s="11"/>
      <c r="N13" s="20"/>
      <c r="O13" s="13"/>
    </row>
    <row r="14" spans="2:18" ht="13.5" customHeight="1" x14ac:dyDescent="0.35">
      <c r="B14" s="256">
        <f>B15/12</f>
        <v>6.833333333333333</v>
      </c>
      <c r="C14" s="34" t="s">
        <v>3</v>
      </c>
      <c r="D14" s="49" t="s">
        <v>27</v>
      </c>
      <c r="E14" s="64">
        <f>1341.02/'חישוב עד 31.7.2012'!E28</f>
        <v>4019.8441247002397</v>
      </c>
      <c r="F14" s="50">
        <f>E14/$E$15</f>
        <v>0.33149132047541263</v>
      </c>
      <c r="G14" s="150"/>
      <c r="H14" s="49" t="s">
        <v>27</v>
      </c>
      <c r="I14" s="64">
        <f>D34*F14</f>
        <v>5278.7075662089283</v>
      </c>
      <c r="J14" s="34"/>
      <c r="K14" s="34"/>
      <c r="L14" s="34"/>
      <c r="M14" s="11"/>
      <c r="N14" s="20"/>
      <c r="O14" s="13"/>
    </row>
    <row r="15" spans="2:18" x14ac:dyDescent="0.2">
      <c r="B15" s="255">
        <f>(12*6)+10</f>
        <v>82</v>
      </c>
      <c r="C15" t="s">
        <v>29</v>
      </c>
      <c r="D15" s="97" t="s">
        <v>31</v>
      </c>
      <c r="E15" s="102">
        <f>SUM(E13:E14)</f>
        <v>12126.54412470024</v>
      </c>
      <c r="F15" s="101">
        <f>SUM(F13:F14)</f>
        <v>0.99999999999999989</v>
      </c>
      <c r="G15" s="150"/>
      <c r="H15" s="97" t="s">
        <v>36</v>
      </c>
      <c r="I15" s="102">
        <f>SUM(I13:I14)</f>
        <v>15924.119999999999</v>
      </c>
      <c r="J15" s="69"/>
      <c r="K15" s="34"/>
      <c r="L15" s="34"/>
      <c r="R15" s="34"/>
    </row>
    <row r="16" spans="2:18" x14ac:dyDescent="0.2">
      <c r="C16" s="34"/>
      <c r="E16" s="128" t="s">
        <v>0</v>
      </c>
      <c r="F16" s="225"/>
      <c r="J16" s="69"/>
      <c r="K16" s="34"/>
      <c r="L16" s="34"/>
      <c r="R16" s="34"/>
    </row>
    <row r="17" spans="1:18" x14ac:dyDescent="0.2">
      <c r="C17" s="34"/>
      <c r="D17" s="95"/>
      <c r="E17" s="128"/>
      <c r="F17" s="225"/>
      <c r="G17" s="150"/>
      <c r="H17" s="254"/>
      <c r="I17" s="128"/>
      <c r="J17" s="69"/>
      <c r="K17" s="34"/>
      <c r="L17" s="34"/>
      <c r="R17" s="34"/>
    </row>
    <row r="18" spans="1:18" ht="18" x14ac:dyDescent="0.25">
      <c r="C18" s="34"/>
      <c r="E18" s="139" t="s">
        <v>116</v>
      </c>
      <c r="F18" s="35"/>
      <c r="G18" s="45"/>
      <c r="H18" s="53"/>
      <c r="I18" s="34"/>
      <c r="J18" s="69"/>
      <c r="K18" s="34"/>
      <c r="L18" s="34"/>
      <c r="R18" s="34"/>
    </row>
    <row r="19" spans="1:18" x14ac:dyDescent="0.2">
      <c r="C19" s="34"/>
      <c r="D19" s="34"/>
      <c r="E19" s="34"/>
      <c r="F19" s="35"/>
      <c r="G19" s="45"/>
      <c r="H19" s="53"/>
      <c r="I19" s="34"/>
      <c r="J19" s="69"/>
      <c r="K19" s="34"/>
      <c r="L19" s="34"/>
      <c r="R19" s="34"/>
    </row>
    <row r="20" spans="1:18" ht="15.75" x14ac:dyDescent="0.25">
      <c r="B20" s="111" t="s">
        <v>113</v>
      </c>
      <c r="H20" s="34"/>
      <c r="I20" s="34"/>
      <c r="J20" s="34"/>
      <c r="K20" s="34"/>
      <c r="L20" s="34"/>
      <c r="M20" s="81" t="s">
        <v>120</v>
      </c>
      <c r="N20" s="81"/>
      <c r="O20" s="81"/>
      <c r="P20" s="81"/>
      <c r="Q20" s="34"/>
      <c r="R20" s="34"/>
    </row>
    <row r="21" spans="1:18" ht="15" x14ac:dyDescent="0.25">
      <c r="D21" s="17" t="s">
        <v>6</v>
      </c>
      <c r="E21" s="16" t="s">
        <v>8</v>
      </c>
      <c r="F21" s="34"/>
      <c r="G21" s="34"/>
      <c r="I21" s="13"/>
      <c r="K21" s="81"/>
      <c r="L21" s="34"/>
      <c r="N21" s="81" t="s">
        <v>123</v>
      </c>
      <c r="O21" s="81"/>
      <c r="P21" s="266">
        <f>Q27</f>
        <v>-154.41071103605282</v>
      </c>
      <c r="Q21" s="81" t="s">
        <v>121</v>
      </c>
      <c r="R21" s="34"/>
    </row>
    <row r="22" spans="1:18" ht="15" x14ac:dyDescent="0.25">
      <c r="B22" s="11" t="s">
        <v>17</v>
      </c>
      <c r="C22" s="11" t="s">
        <v>38</v>
      </c>
      <c r="D22" s="11" t="s">
        <v>7</v>
      </c>
      <c r="E22" s="24" t="s">
        <v>32</v>
      </c>
      <c r="F22" s="11" t="s">
        <v>10</v>
      </c>
      <c r="H22" t="s">
        <v>33</v>
      </c>
      <c r="I22" s="14"/>
      <c r="K22" s="81"/>
      <c r="L22" s="127"/>
      <c r="M22" s="120"/>
      <c r="N22" s="121" t="s">
        <v>6</v>
      </c>
      <c r="O22" s="122" t="s">
        <v>8</v>
      </c>
      <c r="P22" s="120"/>
      <c r="Q22" s="120"/>
      <c r="R22" s="96"/>
    </row>
    <row r="23" spans="1:18" x14ac:dyDescent="0.2">
      <c r="B23" s="22" t="s">
        <v>16</v>
      </c>
      <c r="C23" s="22" t="s">
        <v>18</v>
      </c>
      <c r="D23" s="1">
        <v>39617</v>
      </c>
      <c r="E23" s="23">
        <f>+I6</f>
        <v>0.37333333333333329</v>
      </c>
      <c r="F23" s="1">
        <f>D23*E23</f>
        <v>14790.346666666665</v>
      </c>
      <c r="H23" s="2">
        <f>E23*100/2</f>
        <v>18.666666666666664</v>
      </c>
      <c r="I23" s="14"/>
      <c r="K23" s="81"/>
      <c r="L23" s="125" t="s">
        <v>17</v>
      </c>
      <c r="M23" s="117" t="s">
        <v>38</v>
      </c>
      <c r="N23" s="117" t="s">
        <v>7</v>
      </c>
      <c r="O23" s="117" t="s">
        <v>32</v>
      </c>
      <c r="P23" s="117" t="s">
        <v>10</v>
      </c>
      <c r="Q23" s="85"/>
      <c r="R23" s="82" t="s">
        <v>33</v>
      </c>
    </row>
    <row r="24" spans="1:18" ht="17.25" thickBot="1" x14ac:dyDescent="0.4">
      <c r="B24" t="s">
        <v>15</v>
      </c>
      <c r="C24" s="10" t="s">
        <v>19</v>
      </c>
      <c r="D24" s="25">
        <f>SUM($E$13:$E$14)</f>
        <v>12126.54412470024</v>
      </c>
      <c r="E24" s="20">
        <f>I7+I9</f>
        <v>0.32666666666666655</v>
      </c>
      <c r="F24" s="5">
        <f>D24*E24</f>
        <v>3961.3377474020772</v>
      </c>
      <c r="H24" s="27">
        <f>E24*100/2</f>
        <v>16.333333333333329</v>
      </c>
      <c r="J24" s="265">
        <v>18906.095125104795</v>
      </c>
      <c r="K24" s="123" t="s">
        <v>0</v>
      </c>
      <c r="L24" s="124" t="s">
        <v>16</v>
      </c>
      <c r="M24" s="85" t="s">
        <v>18</v>
      </c>
      <c r="N24" s="84">
        <v>39617</v>
      </c>
      <c r="O24" s="42">
        <f>J6</f>
        <v>0.3789502176708095</v>
      </c>
      <c r="P24" s="84">
        <f>N24*O24</f>
        <v>15012.870773464459</v>
      </c>
      <c r="Q24" s="81"/>
      <c r="R24" s="82">
        <f>O24*100/2</f>
        <v>18.947510883540474</v>
      </c>
    </row>
    <row r="25" spans="1:18" ht="17.25" thickBot="1" x14ac:dyDescent="0.4">
      <c r="E25" s="7">
        <f>SUM(E23:E24)</f>
        <v>0.69999999999999984</v>
      </c>
      <c r="F25" s="40" t="s">
        <v>24</v>
      </c>
      <c r="G25" s="41">
        <f>SUM(F23:F24)</f>
        <v>18751.684414068743</v>
      </c>
      <c r="H25" s="12">
        <f>SUM(H23:H24)</f>
        <v>34.999999999999993</v>
      </c>
      <c r="J25" s="265">
        <v>18561.083920000001</v>
      </c>
      <c r="K25" s="81"/>
      <c r="L25" s="83" t="s">
        <v>15</v>
      </c>
      <c r="M25" s="85" t="s">
        <v>19</v>
      </c>
      <c r="N25" s="86">
        <f>E15</f>
        <v>12126.54412470024</v>
      </c>
      <c r="O25" s="44">
        <f>J8-O24</f>
        <v>0.32104978232919046</v>
      </c>
      <c r="P25" s="87">
        <f>N25*O25</f>
        <v>3893.2243516403355</v>
      </c>
      <c r="Q25" s="81"/>
      <c r="R25" s="64">
        <f>O25*100/2</f>
        <v>16.052489116459522</v>
      </c>
    </row>
    <row r="26" spans="1:18" ht="17.25" thickBot="1" x14ac:dyDescent="0.4">
      <c r="E26" s="162" t="s">
        <v>119</v>
      </c>
      <c r="F26" s="158"/>
      <c r="G26" s="159">
        <f>'חישוב עד 31.7.2012'!G29</f>
        <v>18561.083920000001</v>
      </c>
      <c r="H26" s="12"/>
      <c r="J26" s="265">
        <v>345.0112051047945</v>
      </c>
      <c r="K26" s="81"/>
      <c r="L26" s="83"/>
      <c r="M26" s="81"/>
      <c r="N26" s="81"/>
      <c r="O26" s="88">
        <f>SUM(O24:O25)</f>
        <v>0.7</v>
      </c>
      <c r="P26" s="81" t="s">
        <v>24</v>
      </c>
      <c r="Q26" s="113">
        <f>SUM(P24:P25)</f>
        <v>18906.095125104795</v>
      </c>
      <c r="R26" s="82">
        <f>SUM(R24:R25)</f>
        <v>35</v>
      </c>
    </row>
    <row r="27" spans="1:18" ht="17.25" thickBot="1" x14ac:dyDescent="0.4">
      <c r="F27" s="163" t="s">
        <v>61</v>
      </c>
      <c r="G27" s="161">
        <f>G25-G26</f>
        <v>190.60049406874168</v>
      </c>
      <c r="H27" s="12"/>
      <c r="J27" s="15"/>
      <c r="K27" s="81"/>
      <c r="L27" s="83"/>
      <c r="M27" s="81"/>
      <c r="N27" s="81"/>
      <c r="O27" s="81"/>
      <c r="P27" s="89" t="s">
        <v>23</v>
      </c>
      <c r="Q27" s="112">
        <f>G25-Q26</f>
        <v>-154.41071103605282</v>
      </c>
    </row>
    <row r="28" spans="1:18" ht="15" x14ac:dyDescent="0.25">
      <c r="E28" s="7"/>
      <c r="F28" s="62"/>
      <c r="G28" s="63"/>
      <c r="H28" s="12"/>
      <c r="J28" s="15"/>
      <c r="K28" s="81"/>
      <c r="L28" s="126" t="s">
        <v>124</v>
      </c>
      <c r="M28" s="92"/>
      <c r="N28" s="92"/>
      <c r="O28" s="92"/>
      <c r="P28" s="92"/>
      <c r="Q28" s="114"/>
      <c r="R28" s="119"/>
    </row>
    <row r="29" spans="1:18" ht="18" customHeight="1" x14ac:dyDescent="0.35">
      <c r="A29" s="98"/>
      <c r="B29" s="84"/>
      <c r="E29" s="7"/>
      <c r="F29" s="62"/>
      <c r="G29" s="63"/>
      <c r="H29" s="12"/>
      <c r="J29" s="15"/>
      <c r="M29" s="8"/>
      <c r="N29" s="5"/>
      <c r="O29" s="15"/>
      <c r="P29" s="21"/>
    </row>
    <row r="30" spans="1:18" ht="15.75" x14ac:dyDescent="0.25">
      <c r="B30" s="111" t="s">
        <v>114</v>
      </c>
    </row>
    <row r="31" spans="1:18" ht="15" x14ac:dyDescent="0.25">
      <c r="D31" s="17" t="s">
        <v>6</v>
      </c>
      <c r="E31" s="16" t="s">
        <v>8</v>
      </c>
      <c r="F31" s="34"/>
    </row>
    <row r="32" spans="1:18" ht="15" x14ac:dyDescent="0.25">
      <c r="B32" s="11" t="s">
        <v>17</v>
      </c>
      <c r="C32" s="11" t="s">
        <v>38</v>
      </c>
      <c r="D32" s="11" t="s">
        <v>7</v>
      </c>
      <c r="E32" s="24" t="s">
        <v>9</v>
      </c>
      <c r="F32" s="11" t="s">
        <v>10</v>
      </c>
      <c r="G32" s="34"/>
      <c r="H32" t="s">
        <v>33</v>
      </c>
      <c r="K32" s="81"/>
      <c r="L32" s="127"/>
      <c r="M32" s="120"/>
      <c r="N32" s="121" t="s">
        <v>6</v>
      </c>
      <c r="O32" s="122" t="s">
        <v>8</v>
      </c>
      <c r="P32" s="120"/>
      <c r="Q32" s="120"/>
      <c r="R32" s="96"/>
    </row>
    <row r="33" spans="1:18" x14ac:dyDescent="0.2">
      <c r="B33" s="22" t="s">
        <v>16</v>
      </c>
      <c r="C33" s="22" t="s">
        <v>18</v>
      </c>
      <c r="D33" s="1">
        <v>39617</v>
      </c>
      <c r="E33" s="23">
        <f>+E23</f>
        <v>0.37333333333333329</v>
      </c>
      <c r="F33" s="1">
        <f>D33*E33</f>
        <v>14790.346666666665</v>
      </c>
      <c r="H33" s="110">
        <f>E33*100/2</f>
        <v>18.666666666666664</v>
      </c>
      <c r="K33" s="81"/>
      <c r="L33" s="125" t="s">
        <v>17</v>
      </c>
      <c r="M33" s="117" t="s">
        <v>38</v>
      </c>
      <c r="N33" s="117" t="s">
        <v>7</v>
      </c>
      <c r="O33" s="117" t="s">
        <v>32</v>
      </c>
      <c r="P33" s="117" t="s">
        <v>10</v>
      </c>
      <c r="Q33" s="85"/>
      <c r="R33" s="118"/>
    </row>
    <row r="34" spans="1:18" ht="15" thickBot="1" x14ac:dyDescent="0.25">
      <c r="B34" t="s">
        <v>15</v>
      </c>
      <c r="C34" t="s">
        <v>34</v>
      </c>
      <c r="D34" s="25">
        <v>15924.12</v>
      </c>
      <c r="E34" s="20">
        <f>E24</f>
        <v>0.32666666666666655</v>
      </c>
      <c r="F34" s="1">
        <f>D34*E34</f>
        <v>5201.8791999999985</v>
      </c>
      <c r="H34" s="27">
        <f>E34*100/2</f>
        <v>16.333333333333329</v>
      </c>
      <c r="K34" s="123" t="s">
        <v>0</v>
      </c>
      <c r="L34" s="124" t="s">
        <v>16</v>
      </c>
      <c r="M34" s="85" t="s">
        <v>18</v>
      </c>
      <c r="N34" s="84">
        <v>39617</v>
      </c>
      <c r="O34" s="42" t="str">
        <f>$J$4</f>
        <v xml:space="preserve"> </v>
      </c>
      <c r="P34" s="84" t="e">
        <f>N34*O34</f>
        <v>#VALUE!</v>
      </c>
      <c r="Q34" s="81"/>
      <c r="R34" s="82" t="s">
        <v>33</v>
      </c>
    </row>
    <row r="35" spans="1:18" ht="17.25" thickBot="1" x14ac:dyDescent="0.4">
      <c r="E35" s="7">
        <v>0.7</v>
      </c>
      <c r="F35" s="40" t="s">
        <v>24</v>
      </c>
      <c r="G35" s="41">
        <f>SUM(F33:F34)</f>
        <v>19992.225866666664</v>
      </c>
      <c r="H35" s="12">
        <f>SUM(H33:H34)</f>
        <v>34.999999999999993</v>
      </c>
      <c r="I35" t="s">
        <v>0</v>
      </c>
      <c r="K35" s="81"/>
      <c r="L35" s="83" t="s">
        <v>15</v>
      </c>
      <c r="M35" s="85" t="s">
        <v>19</v>
      </c>
      <c r="N35" s="86">
        <f>I15</f>
        <v>15924.119999999999</v>
      </c>
      <c r="O35" s="44" t="e">
        <f>#REF!</f>
        <v>#REF!</v>
      </c>
      <c r="P35" s="87" t="e">
        <f>N35*O35</f>
        <v>#REF!</v>
      </c>
      <c r="Q35" s="81"/>
      <c r="R35" s="82" t="e">
        <f>O34*100/2</f>
        <v>#VALUE!</v>
      </c>
    </row>
    <row r="36" spans="1:18" ht="17.25" thickBot="1" x14ac:dyDescent="0.4">
      <c r="E36" s="157" t="s">
        <v>58</v>
      </c>
      <c r="F36" s="158"/>
      <c r="G36" s="159">
        <f>'חישוב עד 31.7.2012'!G38</f>
        <v>19827.955232</v>
      </c>
      <c r="H36" t="s">
        <v>0</v>
      </c>
      <c r="K36" s="81"/>
      <c r="L36" s="83"/>
      <c r="M36" s="81"/>
      <c r="N36" s="81"/>
      <c r="O36" s="88">
        <v>0.7</v>
      </c>
      <c r="P36" s="81" t="s">
        <v>24</v>
      </c>
      <c r="Q36" s="113" t="e">
        <f>SUM(P34:P35)</f>
        <v>#VALUE!</v>
      </c>
      <c r="R36" s="64" t="e">
        <f>O35*100/2</f>
        <v>#REF!</v>
      </c>
    </row>
    <row r="37" spans="1:18" ht="17.25" thickBot="1" x14ac:dyDescent="0.4">
      <c r="F37" s="160" t="s">
        <v>61</v>
      </c>
      <c r="G37" s="161">
        <f>G35-G36</f>
        <v>164.27063466666368</v>
      </c>
      <c r="K37" s="81"/>
      <c r="L37" s="83"/>
      <c r="M37" s="81"/>
      <c r="N37" s="81"/>
      <c r="O37" s="81"/>
      <c r="P37" s="89" t="s">
        <v>23</v>
      </c>
      <c r="Q37" s="112" t="e">
        <f>Q36-G35</f>
        <v>#VALUE!</v>
      </c>
      <c r="R37" s="82" t="e">
        <f>SUM(R35:R36)</f>
        <v>#VALUE!</v>
      </c>
    </row>
    <row r="38" spans="1:18" ht="15.75" thickBot="1" x14ac:dyDescent="0.3">
      <c r="D38" s="105" t="s">
        <v>59</v>
      </c>
      <c r="E38" s="106"/>
      <c r="F38" s="107"/>
      <c r="G38" s="108">
        <f>G25-G35</f>
        <v>-1240.5414525979213</v>
      </c>
      <c r="H38" s="109" t="s">
        <v>37</v>
      </c>
      <c r="I38" s="108">
        <f>$B$15*G38</f>
        <v>-101724.39911302955</v>
      </c>
      <c r="K38" s="81"/>
      <c r="L38" s="126" t="s">
        <v>39</v>
      </c>
      <c r="M38" s="92"/>
      <c r="N38" s="92"/>
      <c r="O38" s="92"/>
      <c r="P38" s="92"/>
      <c r="Q38" s="114"/>
      <c r="R38" s="119"/>
    </row>
    <row r="39" spans="1:18" ht="13.5" customHeight="1" x14ac:dyDescent="0.2"/>
    <row r="42" spans="1:18" ht="18.75" x14ac:dyDescent="0.3">
      <c r="B42" s="111" t="s">
        <v>66</v>
      </c>
    </row>
    <row r="43" spans="1:18" ht="15.75" x14ac:dyDescent="0.25">
      <c r="B43" s="111"/>
      <c r="C43" s="137">
        <v>0.02</v>
      </c>
      <c r="D43" t="s">
        <v>64</v>
      </c>
    </row>
    <row r="44" spans="1:18" ht="15" x14ac:dyDescent="0.25">
      <c r="D44" s="17" t="s">
        <v>6</v>
      </c>
      <c r="E44" s="16" t="s">
        <v>8</v>
      </c>
      <c r="F44" s="34"/>
    </row>
    <row r="45" spans="1:18" ht="15" x14ac:dyDescent="0.25">
      <c r="B45" s="11" t="s">
        <v>17</v>
      </c>
      <c r="C45" s="11" t="s">
        <v>38</v>
      </c>
      <c r="D45" s="11" t="s">
        <v>7</v>
      </c>
      <c r="E45" s="24" t="s">
        <v>9</v>
      </c>
      <c r="F45" s="11" t="s">
        <v>10</v>
      </c>
      <c r="G45" s="34"/>
      <c r="H45" t="s">
        <v>33</v>
      </c>
      <c r="K45" s="81"/>
      <c r="L45" s="85"/>
      <c r="M45" s="85"/>
      <c r="N45" s="115"/>
      <c r="O45" s="116"/>
      <c r="P45" s="85"/>
      <c r="Q45" s="85"/>
      <c r="R45" s="34"/>
    </row>
    <row r="46" spans="1:18" x14ac:dyDescent="0.2">
      <c r="B46" s="22" t="s">
        <v>16</v>
      </c>
      <c r="C46" s="22" t="s">
        <v>18</v>
      </c>
      <c r="D46" s="1">
        <v>39617</v>
      </c>
      <c r="E46" s="23">
        <f>G6*2%</f>
        <v>0.48</v>
      </c>
      <c r="F46" s="1">
        <f>D46*E46</f>
        <v>19016.16</v>
      </c>
      <c r="H46" s="110">
        <f>E46*100/2</f>
        <v>24</v>
      </c>
      <c r="L46" s="34"/>
      <c r="M46" s="34"/>
      <c r="N46" s="34"/>
      <c r="O46" s="34"/>
      <c r="P46" s="34"/>
      <c r="Q46" s="34"/>
      <c r="R46" s="34"/>
    </row>
    <row r="47" spans="1:18" ht="15" thickBot="1" x14ac:dyDescent="0.25">
      <c r="B47" t="s">
        <v>15</v>
      </c>
      <c r="C47" t="s">
        <v>19</v>
      </c>
      <c r="D47" s="25">
        <f>D24</f>
        <v>12126.54412470024</v>
      </c>
      <c r="E47" s="20">
        <f>70%-E46</f>
        <v>0.21999999999999997</v>
      </c>
      <c r="F47" s="1">
        <f>D47*E47</f>
        <v>2667.8397074340523</v>
      </c>
      <c r="H47" s="27">
        <f>E47*100/2</f>
        <v>10.999999999999998</v>
      </c>
      <c r="L47" s="34"/>
      <c r="M47" s="34"/>
      <c r="N47" s="34"/>
      <c r="O47" s="34"/>
      <c r="P47" s="34"/>
      <c r="Q47" s="34"/>
      <c r="R47" s="34"/>
    </row>
    <row r="48" spans="1:18" ht="15.75" thickBot="1" x14ac:dyDescent="0.3">
      <c r="A48" s="94"/>
      <c r="B48" s="34"/>
      <c r="E48" s="7">
        <f>SUM(E46:E47)</f>
        <v>0.7</v>
      </c>
      <c r="F48" s="40" t="s">
        <v>24</v>
      </c>
      <c r="G48" s="41">
        <f>SUM(F46:F47)</f>
        <v>21683.999707434054</v>
      </c>
      <c r="H48" s="12">
        <f>SUM(H46:H47)</f>
        <v>35</v>
      </c>
      <c r="L48" s="34"/>
      <c r="M48" s="34"/>
      <c r="N48" s="34"/>
      <c r="O48" s="34"/>
      <c r="P48" s="34"/>
      <c r="Q48" s="34"/>
      <c r="R48" s="34"/>
    </row>
    <row r="49" spans="1:18" ht="16.5" x14ac:dyDescent="0.35">
      <c r="A49" s="34"/>
      <c r="B49" s="86"/>
      <c r="C49" s="34"/>
      <c r="D49" s="34"/>
      <c r="E49" s="157" t="s">
        <v>62</v>
      </c>
      <c r="F49" s="158"/>
      <c r="G49" s="159">
        <f>'חישוב עד 31.7.2012'!G50</f>
        <v>20767.467908551556</v>
      </c>
      <c r="L49" s="34"/>
      <c r="M49" s="34"/>
      <c r="N49" s="34"/>
      <c r="O49" s="34"/>
      <c r="P49" s="34"/>
      <c r="Q49" s="34"/>
      <c r="R49" s="34"/>
    </row>
    <row r="50" spans="1:18" ht="15" thickBot="1" x14ac:dyDescent="0.25">
      <c r="A50" s="34"/>
      <c r="C50" s="59"/>
      <c r="D50" s="59"/>
      <c r="F50" s="160" t="s">
        <v>61</v>
      </c>
      <c r="G50" s="164">
        <f>G48-G49</f>
        <v>916.53179888249724</v>
      </c>
    </row>
    <row r="51" spans="1:18" ht="15.75" thickBot="1" x14ac:dyDescent="0.3">
      <c r="B51" s="129" t="s">
        <v>60</v>
      </c>
      <c r="C51" s="56"/>
      <c r="D51" s="56"/>
      <c r="E51" s="56"/>
      <c r="F51" s="130"/>
      <c r="G51" s="131">
        <f>$G$25-G48</f>
        <v>-2932.3152933653109</v>
      </c>
      <c r="H51" s="132" t="s">
        <v>37</v>
      </c>
      <c r="I51" s="108">
        <f>$B$15*G51</f>
        <v>-240449.85405595548</v>
      </c>
    </row>
    <row r="52" spans="1:18" ht="15" x14ac:dyDescent="0.25">
      <c r="B52" s="138"/>
      <c r="E52" s="34"/>
      <c r="F52" s="62"/>
      <c r="G52" s="104"/>
      <c r="H52" s="34"/>
      <c r="I52" s="133"/>
    </row>
    <row r="53" spans="1:18" ht="18.75" x14ac:dyDescent="0.3">
      <c r="B53" s="111" t="s">
        <v>63</v>
      </c>
      <c r="E53" s="7"/>
      <c r="F53" s="62"/>
      <c r="G53" s="63"/>
    </row>
    <row r="54" spans="1:18" ht="15.75" x14ac:dyDescent="0.25">
      <c r="B54" s="111"/>
      <c r="C54" s="137">
        <v>0.02</v>
      </c>
      <c r="D54" t="s">
        <v>65</v>
      </c>
    </row>
    <row r="55" spans="1:18" ht="15" x14ac:dyDescent="0.25">
      <c r="D55" s="17" t="s">
        <v>6</v>
      </c>
      <c r="E55" s="16" t="s">
        <v>8</v>
      </c>
      <c r="F55" s="34"/>
    </row>
    <row r="56" spans="1:18" ht="15" x14ac:dyDescent="0.25">
      <c r="B56" s="11" t="s">
        <v>17</v>
      </c>
      <c r="C56" s="11" t="s">
        <v>38</v>
      </c>
      <c r="D56" s="11" t="s">
        <v>7</v>
      </c>
      <c r="E56" s="24" t="s">
        <v>9</v>
      </c>
      <c r="F56" s="11" t="s">
        <v>10</v>
      </c>
      <c r="H56" t="s">
        <v>33</v>
      </c>
    </row>
    <row r="57" spans="1:18" x14ac:dyDescent="0.2">
      <c r="B57" s="22" t="s">
        <v>16</v>
      </c>
      <c r="C57" s="22" t="s">
        <v>18</v>
      </c>
      <c r="D57" s="1">
        <v>39617</v>
      </c>
      <c r="E57" s="23">
        <f>E46</f>
        <v>0.48</v>
      </c>
      <c r="F57" s="1">
        <f>D57*E57</f>
        <v>19016.16</v>
      </c>
      <c r="G57" s="34"/>
      <c r="H57" s="110">
        <f>E57*100/2</f>
        <v>24</v>
      </c>
    </row>
    <row r="58" spans="1:18" ht="17.25" thickBot="1" x14ac:dyDescent="0.4">
      <c r="B58" t="s">
        <v>15</v>
      </c>
      <c r="C58" t="s">
        <v>34</v>
      </c>
      <c r="D58" s="25">
        <f>D34</f>
        <v>15924.12</v>
      </c>
      <c r="E58" s="20">
        <f>70%-E57</f>
        <v>0.21999999999999997</v>
      </c>
      <c r="F58" s="3">
        <f>D58*E58</f>
        <v>3503.3063999999999</v>
      </c>
      <c r="H58" s="27">
        <f>E58*100/2</f>
        <v>10.999999999999998</v>
      </c>
    </row>
    <row r="59" spans="1:18" ht="15.75" thickBot="1" x14ac:dyDescent="0.3">
      <c r="A59" s="94"/>
      <c r="B59" s="34"/>
      <c r="E59" s="7">
        <f>SUM(E57:E58)</f>
        <v>0.7</v>
      </c>
      <c r="F59" s="40" t="s">
        <v>24</v>
      </c>
      <c r="G59" s="41">
        <f>SUM(F57:F58)</f>
        <v>22519.466400000001</v>
      </c>
      <c r="H59" s="12">
        <f>SUM(H57:H58)</f>
        <v>35</v>
      </c>
    </row>
    <row r="60" spans="1:18" ht="16.5" x14ac:dyDescent="0.35">
      <c r="A60" s="34"/>
      <c r="C60" s="34"/>
      <c r="D60" s="34"/>
      <c r="E60" s="157" t="s">
        <v>62</v>
      </c>
      <c r="F60" s="158"/>
      <c r="G60" s="159">
        <f>'חישוב עד 31.7.2012'!G61</f>
        <v>21729.545780799999</v>
      </c>
    </row>
    <row r="61" spans="1:18" ht="15" thickBot="1" x14ac:dyDescent="0.25">
      <c r="A61" s="34"/>
      <c r="B61" s="138"/>
      <c r="C61" s="34"/>
      <c r="D61" s="34"/>
      <c r="E61" s="7"/>
      <c r="F61" s="160" t="s">
        <v>61</v>
      </c>
      <c r="G61" s="164">
        <f>G59-G60</f>
        <v>789.92061920000197</v>
      </c>
      <c r="H61" s="34"/>
      <c r="I61" s="133"/>
    </row>
    <row r="62" spans="1:18" ht="15.75" thickBot="1" x14ac:dyDescent="0.3">
      <c r="A62" s="34"/>
      <c r="B62" s="129" t="s">
        <v>43</v>
      </c>
      <c r="C62" s="34"/>
      <c r="D62" s="34"/>
      <c r="E62" s="56"/>
      <c r="F62" s="130"/>
      <c r="G62" s="131">
        <f>G25-G59</f>
        <v>-3767.7819859312585</v>
      </c>
      <c r="H62" s="132" t="s">
        <v>37</v>
      </c>
      <c r="I62" s="108">
        <f>$B$15*G62</f>
        <v>-308958.12284636323</v>
      </c>
    </row>
    <row r="63" spans="1:18" ht="15" x14ac:dyDescent="0.25">
      <c r="A63" s="34"/>
      <c r="B63" s="138"/>
      <c r="C63" s="34"/>
      <c r="D63" s="34"/>
      <c r="E63" s="34"/>
      <c r="F63" s="62"/>
      <c r="G63" s="104"/>
      <c r="H63" s="34"/>
      <c r="I63" s="133"/>
    </row>
    <row r="64" spans="1:18" ht="15" x14ac:dyDescent="0.25">
      <c r="A64" s="34"/>
      <c r="B64" s="138"/>
      <c r="C64" s="34"/>
      <c r="D64" s="34"/>
      <c r="E64" s="34"/>
      <c r="F64" s="62"/>
      <c r="G64" s="104"/>
      <c r="H64" s="34"/>
      <c r="I64" s="133"/>
    </row>
    <row r="65" spans="1:9" ht="18" x14ac:dyDescent="0.25">
      <c r="A65" s="34"/>
      <c r="B65" s="138"/>
      <c r="C65" s="34"/>
      <c r="D65" s="139" t="s">
        <v>51</v>
      </c>
      <c r="E65" s="34"/>
      <c r="F65" s="62"/>
      <c r="G65" s="104"/>
      <c r="H65" s="34"/>
      <c r="I65" s="133"/>
    </row>
    <row r="66" spans="1:9" ht="15" x14ac:dyDescent="0.25">
      <c r="E66" s="34"/>
      <c r="F66" s="62"/>
      <c r="G66" s="104"/>
    </row>
    <row r="67" spans="1:9" ht="18.75" x14ac:dyDescent="0.3">
      <c r="B67" s="111" t="s">
        <v>67</v>
      </c>
      <c r="E67" s="34"/>
      <c r="F67" s="62"/>
      <c r="G67" s="104"/>
    </row>
    <row r="68" spans="1:9" ht="15" x14ac:dyDescent="0.25">
      <c r="D68" s="17" t="s">
        <v>6</v>
      </c>
      <c r="E68" s="16" t="s">
        <v>8</v>
      </c>
      <c r="F68" s="34"/>
    </row>
    <row r="69" spans="1:9" ht="15" x14ac:dyDescent="0.25">
      <c r="B69" s="11" t="s">
        <v>17</v>
      </c>
      <c r="C69" s="11" t="s">
        <v>38</v>
      </c>
      <c r="D69" s="11" t="s">
        <v>7</v>
      </c>
      <c r="E69" s="24" t="s">
        <v>9</v>
      </c>
      <c r="F69" s="11" t="s">
        <v>10</v>
      </c>
      <c r="H69" t="s">
        <v>33</v>
      </c>
    </row>
    <row r="70" spans="1:9" x14ac:dyDescent="0.2">
      <c r="B70" s="22" t="s">
        <v>16</v>
      </c>
      <c r="C70" s="22" t="s">
        <v>18</v>
      </c>
      <c r="D70" s="1">
        <v>39617</v>
      </c>
      <c r="E70" s="23">
        <f>G6*2%</f>
        <v>0.48</v>
      </c>
      <c r="F70" s="1">
        <f>D70*E70</f>
        <v>19016.16</v>
      </c>
      <c r="G70" s="34"/>
      <c r="H70" s="110">
        <f>E70*100/2</f>
        <v>24</v>
      </c>
    </row>
    <row r="71" spans="1:9" ht="15" thickBot="1" x14ac:dyDescent="0.25">
      <c r="B71" t="s">
        <v>15</v>
      </c>
      <c r="C71" t="s">
        <v>19</v>
      </c>
      <c r="D71" s="25">
        <f>D47</f>
        <v>12126.54412470024</v>
      </c>
      <c r="E71" s="20">
        <f>G7*2%</f>
        <v>0.40665999999999997</v>
      </c>
      <c r="F71" s="1">
        <f>D71*E71</f>
        <v>4931.380433750599</v>
      </c>
      <c r="H71" s="27">
        <f>E71*100/2</f>
        <v>20.332999999999998</v>
      </c>
    </row>
    <row r="72" spans="1:9" ht="15.75" thickBot="1" x14ac:dyDescent="0.3">
      <c r="A72" s="94"/>
      <c r="B72" s="34"/>
      <c r="E72" s="6">
        <f>SUM(E70:E71)</f>
        <v>0.88666</v>
      </c>
      <c r="F72" s="40" t="s">
        <v>24</v>
      </c>
      <c r="G72" s="41">
        <f>SUM(F70:F71)</f>
        <v>23947.540433750597</v>
      </c>
      <c r="H72" s="12">
        <f>SUM(H70:H71)</f>
        <v>44.332999999999998</v>
      </c>
    </row>
    <row r="73" spans="1:9" ht="16.5" x14ac:dyDescent="0.35">
      <c r="A73" s="34"/>
      <c r="C73" s="34"/>
      <c r="D73" s="34"/>
      <c r="E73" s="157" t="s">
        <v>62</v>
      </c>
      <c r="F73" s="158"/>
      <c r="G73" s="159">
        <f>'חישוב עד 31.7.2012'!G76</f>
        <v>22626.952184633094</v>
      </c>
    </row>
    <row r="74" spans="1:9" ht="15" thickBot="1" x14ac:dyDescent="0.25">
      <c r="A74" s="34"/>
      <c r="C74" s="34"/>
      <c r="D74" s="34"/>
      <c r="E74" s="7"/>
      <c r="F74" s="160" t="s">
        <v>61</v>
      </c>
      <c r="G74" s="164">
        <f>G72-G73</f>
        <v>1320.5882491175034</v>
      </c>
    </row>
    <row r="75" spans="1:9" ht="15.75" thickBot="1" x14ac:dyDescent="0.3">
      <c r="B75" s="129" t="s">
        <v>69</v>
      </c>
      <c r="E75" s="7"/>
      <c r="F75" s="62"/>
      <c r="G75" s="131">
        <f>G25-G72</f>
        <v>-5195.8560196818544</v>
      </c>
      <c r="H75" s="132" t="s">
        <v>37</v>
      </c>
      <c r="I75" s="108">
        <f>$B$15*G75</f>
        <v>-426060.19361391204</v>
      </c>
    </row>
    <row r="76" spans="1:9" ht="15" x14ac:dyDescent="0.25">
      <c r="E76" s="56"/>
      <c r="F76" s="130"/>
    </row>
    <row r="77" spans="1:9" ht="18.75" x14ac:dyDescent="0.3">
      <c r="B77" s="111" t="s">
        <v>115</v>
      </c>
    </row>
    <row r="78" spans="1:9" ht="15" x14ac:dyDescent="0.25">
      <c r="D78" s="17" t="s">
        <v>6</v>
      </c>
      <c r="E78" s="16" t="s">
        <v>8</v>
      </c>
      <c r="F78" s="34"/>
    </row>
    <row r="79" spans="1:9" ht="15" x14ac:dyDescent="0.25">
      <c r="B79" s="11" t="s">
        <v>17</v>
      </c>
      <c r="C79" s="11" t="s">
        <v>38</v>
      </c>
      <c r="D79" s="11" t="s">
        <v>7</v>
      </c>
      <c r="E79" s="24" t="s">
        <v>9</v>
      </c>
      <c r="F79" s="11" t="s">
        <v>10</v>
      </c>
      <c r="H79" t="s">
        <v>33</v>
      </c>
    </row>
    <row r="80" spans="1:9" x14ac:dyDescent="0.2">
      <c r="B80" s="22" t="s">
        <v>16</v>
      </c>
      <c r="C80" s="22" t="s">
        <v>18</v>
      </c>
      <c r="D80" s="1">
        <v>39617</v>
      </c>
      <c r="E80" s="23">
        <f>E70</f>
        <v>0.48</v>
      </c>
      <c r="F80" s="1">
        <f>D80*E80</f>
        <v>19016.16</v>
      </c>
      <c r="G80" s="34"/>
      <c r="H80" s="110">
        <f>E80*100/2</f>
        <v>24</v>
      </c>
    </row>
    <row r="81" spans="1:9" ht="15" thickBot="1" x14ac:dyDescent="0.25">
      <c r="B81" t="s">
        <v>15</v>
      </c>
      <c r="C81" t="s">
        <v>34</v>
      </c>
      <c r="D81" s="25">
        <f>D58</f>
        <v>15924.12</v>
      </c>
      <c r="E81" s="20">
        <f xml:space="preserve"> G7*2%</f>
        <v>0.40665999999999997</v>
      </c>
      <c r="F81" s="1">
        <f>D81*E81</f>
        <v>6475.7026391999998</v>
      </c>
      <c r="H81" s="27">
        <f>E81*100/2</f>
        <v>20.332999999999998</v>
      </c>
    </row>
    <row r="82" spans="1:9" ht="15.75" thickBot="1" x14ac:dyDescent="0.3">
      <c r="A82" s="94"/>
      <c r="B82" s="34"/>
      <c r="E82" s="6">
        <f>SUM(E80:E81)</f>
        <v>0.88666</v>
      </c>
      <c r="F82" s="40" t="s">
        <v>24</v>
      </c>
      <c r="G82" s="41">
        <f>SUM(F80:F81)</f>
        <v>25491.862639200001</v>
      </c>
      <c r="H82" s="12">
        <f>SUM(H80:H81)</f>
        <v>44.332999999999998</v>
      </c>
    </row>
    <row r="83" spans="1:9" ht="16.5" x14ac:dyDescent="0.35">
      <c r="A83" s="94"/>
      <c r="B83" s="34"/>
      <c r="E83" s="157" t="s">
        <v>62</v>
      </c>
      <c r="F83" s="158"/>
      <c r="G83" s="159">
        <f>'חישוב עד 31.7.2012'!G86</f>
        <v>24171.350341600002</v>
      </c>
      <c r="H83" s="12"/>
    </row>
    <row r="84" spans="1:9" ht="15" thickBot="1" x14ac:dyDescent="0.25">
      <c r="A84" s="34"/>
      <c r="B84" s="86"/>
      <c r="E84" s="7"/>
      <c r="F84" s="160" t="s">
        <v>61</v>
      </c>
      <c r="G84" s="164">
        <f>G82-G83</f>
        <v>1320.5122975999984</v>
      </c>
    </row>
    <row r="85" spans="1:9" ht="15.75" thickBot="1" x14ac:dyDescent="0.3">
      <c r="A85" s="34"/>
      <c r="B85" s="129" t="s">
        <v>68</v>
      </c>
      <c r="C85" s="56"/>
      <c r="D85" s="56"/>
      <c r="F85" s="130"/>
      <c r="G85" s="131">
        <f>G25-G82</f>
        <v>-6740.1782251312579</v>
      </c>
      <c r="H85" s="132" t="s">
        <v>37</v>
      </c>
      <c r="I85" s="108">
        <f>$B$15*G85</f>
        <v>-552694.61446076317</v>
      </c>
    </row>
    <row r="86" spans="1:9" ht="15" x14ac:dyDescent="0.25">
      <c r="E86" s="7"/>
      <c r="F86" s="62"/>
      <c r="G86" s="63"/>
    </row>
    <row r="87" spans="1:9" x14ac:dyDescent="0.2">
      <c r="E87" s="34"/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חישוב עד 31.7.2012</vt:lpstr>
      <vt:lpstr>חישוב עד 31.3.2014 (2) לא הושלם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Shimon</dc:creator>
  <cp:lastModifiedBy>Shimon</cp:lastModifiedBy>
  <cp:lastPrinted>2019-04-04T13:52:59Z</cp:lastPrinted>
  <dcterms:created xsi:type="dcterms:W3CDTF">2019-04-04T08:44:12Z</dcterms:created>
  <dcterms:modified xsi:type="dcterms:W3CDTF">2019-04-10T10:52:07Z</dcterms:modified>
</cp:coreProperties>
</file>